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1600" windowHeight="9210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9" i="1" l="1"/>
  <c r="D114" i="1"/>
  <c r="M106" i="1"/>
  <c r="D108" i="1" l="1"/>
  <c r="D73" i="1"/>
  <c r="D4" i="1"/>
  <c r="M4" i="1"/>
  <c r="M107" i="1"/>
  <c r="M105" i="1"/>
  <c r="L106" i="1"/>
  <c r="M85" i="1" l="1"/>
  <c r="M95" i="1"/>
  <c r="L73" i="1"/>
  <c r="D113" i="1"/>
  <c r="D102" i="1"/>
  <c r="D103" i="1"/>
  <c r="D104" i="1"/>
  <c r="D105" i="1"/>
  <c r="D101" i="1"/>
  <c r="D99" i="1"/>
  <c r="D98" i="1"/>
  <c r="D88" i="1"/>
  <c r="D89" i="1"/>
  <c r="D90" i="1"/>
  <c r="D91" i="1"/>
  <c r="D92" i="1"/>
  <c r="D93" i="1"/>
  <c r="D94" i="1"/>
  <c r="D95" i="1"/>
  <c r="D96" i="1"/>
  <c r="D87" i="1"/>
  <c r="D82" i="1"/>
  <c r="D83" i="1"/>
  <c r="D84" i="1"/>
  <c r="D85" i="1"/>
  <c r="D81" i="1"/>
  <c r="D76" i="1"/>
  <c r="D77" i="1"/>
  <c r="D78" i="1"/>
  <c r="D79" i="1"/>
  <c r="D75" i="1"/>
  <c r="D43" i="1" l="1"/>
  <c r="D41" i="1"/>
  <c r="D23" i="1"/>
  <c r="M77" i="1"/>
  <c r="M78" i="1"/>
  <c r="M79" i="1"/>
  <c r="M82" i="1"/>
  <c r="M83" i="1"/>
  <c r="M84" i="1"/>
  <c r="M99" i="1"/>
  <c r="M88" i="1"/>
  <c r="M89" i="1"/>
  <c r="M90" i="1"/>
  <c r="M91" i="1"/>
  <c r="M92" i="1"/>
  <c r="M93" i="1"/>
  <c r="M94" i="1"/>
  <c r="M96" i="1"/>
  <c r="M102" i="1"/>
  <c r="M103" i="1"/>
  <c r="M104" i="1"/>
  <c r="M109" i="1"/>
  <c r="M108" i="1"/>
  <c r="M101" i="1"/>
  <c r="M98" i="1"/>
  <c r="M87" i="1"/>
  <c r="M81" i="1"/>
  <c r="M76" i="1"/>
  <c r="M75" i="1"/>
  <c r="M73" i="1"/>
  <c r="M43" i="1"/>
  <c r="M41" i="1"/>
  <c r="M23" i="1"/>
  <c r="M110" i="1" l="1"/>
  <c r="M114" i="1" s="1"/>
  <c r="D106" i="1"/>
  <c r="D107" i="1" s="1"/>
  <c r="L113" i="1"/>
  <c r="L109" i="1"/>
  <c r="D110" i="1" l="1"/>
  <c r="K112" i="1"/>
  <c r="K108" i="1"/>
  <c r="L108" i="1" s="1"/>
  <c r="D112" i="1" l="1"/>
  <c r="J107" i="1" l="1"/>
  <c r="J109" i="1" l="1"/>
  <c r="J110" i="1" s="1"/>
  <c r="K110" i="1" l="1"/>
  <c r="L110" i="1" s="1"/>
  <c r="L114" i="1" s="1"/>
  <c r="J114" i="1"/>
  <c r="K114" i="1" s="1"/>
  <c r="F106" i="1"/>
  <c r="I110" i="1"/>
  <c r="H98" i="1" l="1"/>
  <c r="F73" i="1"/>
  <c r="E110" i="1"/>
  <c r="E114" i="1" s="1"/>
  <c r="E23" i="1" l="1"/>
  <c r="F23" i="1" s="1"/>
  <c r="G23" i="1" s="1"/>
  <c r="G107" i="1" s="1"/>
  <c r="I86" i="1" l="1"/>
  <c r="I111" i="1"/>
  <c r="J111" i="1" s="1"/>
  <c r="K111" i="1" l="1"/>
  <c r="D111" i="1"/>
  <c r="H108" i="1"/>
  <c r="H110" i="1" s="1"/>
  <c r="H112" i="1" l="1"/>
  <c r="I112" i="1" s="1"/>
  <c r="I114" i="1" l="1"/>
  <c r="H114" i="1"/>
  <c r="H87" i="1"/>
  <c r="I87" i="1" s="1"/>
  <c r="J87" i="1" s="1"/>
  <c r="H41" i="1"/>
  <c r="I41" i="1" s="1"/>
  <c r="J41" i="1" s="1"/>
  <c r="H43" i="1"/>
  <c r="I43" i="1" s="1"/>
  <c r="J43" i="1" s="1"/>
  <c r="H73" i="1"/>
  <c r="I73" i="1" s="1"/>
  <c r="J73" i="1" s="1"/>
  <c r="H75" i="1"/>
  <c r="I75" i="1" s="1"/>
  <c r="J75" i="1" s="1"/>
  <c r="H76" i="1"/>
  <c r="I76" i="1" s="1"/>
  <c r="J76" i="1" s="1"/>
  <c r="H77" i="1"/>
  <c r="I77" i="1" s="1"/>
  <c r="J77" i="1" s="1"/>
  <c r="H78" i="1"/>
  <c r="I78" i="1" s="1"/>
  <c r="J78" i="1" s="1"/>
  <c r="H79" i="1"/>
  <c r="I79" i="1" s="1"/>
  <c r="J79" i="1" s="1"/>
  <c r="H81" i="1"/>
  <c r="I81" i="1" s="1"/>
  <c r="J81" i="1" s="1"/>
  <c r="H82" i="1"/>
  <c r="I82" i="1" s="1"/>
  <c r="J82" i="1" s="1"/>
  <c r="H83" i="1"/>
  <c r="I83" i="1" s="1"/>
  <c r="J83" i="1" s="1"/>
  <c r="H84" i="1"/>
  <c r="I84" i="1" s="1"/>
  <c r="J84" i="1" s="1"/>
  <c r="H85" i="1"/>
  <c r="I85" i="1" s="1"/>
  <c r="J85" i="1" s="1"/>
  <c r="H88" i="1"/>
  <c r="I88" i="1" s="1"/>
  <c r="J88" i="1" s="1"/>
  <c r="H89" i="1"/>
  <c r="I89" i="1" s="1"/>
  <c r="J89" i="1" s="1"/>
  <c r="H90" i="1"/>
  <c r="I90" i="1" s="1"/>
  <c r="J90" i="1" s="1"/>
  <c r="H91" i="1"/>
  <c r="I91" i="1" s="1"/>
  <c r="J91" i="1" s="1"/>
  <c r="H92" i="1"/>
  <c r="I92" i="1" s="1"/>
  <c r="J92" i="1" s="1"/>
  <c r="H93" i="1"/>
  <c r="I93" i="1" s="1"/>
  <c r="J93" i="1" s="1"/>
  <c r="H94" i="1"/>
  <c r="I94" i="1" s="1"/>
  <c r="J94" i="1" s="1"/>
  <c r="H95" i="1"/>
  <c r="I95" i="1" s="1"/>
  <c r="J95" i="1" s="1"/>
  <c r="H96" i="1"/>
  <c r="I96" i="1" s="1"/>
  <c r="J96" i="1" s="1"/>
  <c r="I98" i="1"/>
  <c r="J98" i="1" s="1"/>
  <c r="H99" i="1"/>
  <c r="I99" i="1" s="1"/>
  <c r="J99" i="1" s="1"/>
  <c r="H101" i="1"/>
  <c r="I101" i="1" s="1"/>
  <c r="J101" i="1" s="1"/>
  <c r="H102" i="1"/>
  <c r="I102" i="1" s="1"/>
  <c r="J102" i="1" s="1"/>
  <c r="H103" i="1"/>
  <c r="I103" i="1" s="1"/>
  <c r="J103" i="1" s="1"/>
  <c r="H104" i="1"/>
  <c r="I104" i="1" s="1"/>
  <c r="J104" i="1" s="1"/>
  <c r="H105" i="1"/>
  <c r="I105" i="1" s="1"/>
  <c r="J105" i="1" s="1"/>
  <c r="H106" i="1"/>
  <c r="I106" i="1" s="1"/>
  <c r="J106" i="1" s="1"/>
  <c r="H4" i="1"/>
  <c r="I4" i="1" s="1"/>
  <c r="J4" i="1" s="1"/>
  <c r="K106" i="1" l="1"/>
  <c r="K104" i="1"/>
  <c r="L104" i="1" s="1"/>
  <c r="K102" i="1"/>
  <c r="L102" i="1" s="1"/>
  <c r="K99" i="1"/>
  <c r="L99" i="1" s="1"/>
  <c r="K96" i="1"/>
  <c r="L96" i="1" s="1"/>
  <c r="K94" i="1"/>
  <c r="L94" i="1" s="1"/>
  <c r="K92" i="1"/>
  <c r="L92" i="1" s="1"/>
  <c r="K90" i="1"/>
  <c r="L90" i="1" s="1"/>
  <c r="K88" i="1"/>
  <c r="L88" i="1" s="1"/>
  <c r="K84" i="1"/>
  <c r="L84" i="1" s="1"/>
  <c r="K82" i="1"/>
  <c r="L82" i="1" s="1"/>
  <c r="K79" i="1"/>
  <c r="L79" i="1" s="1"/>
  <c r="K77" i="1"/>
  <c r="L77" i="1" s="1"/>
  <c r="K75" i="1"/>
  <c r="L75" i="1" s="1"/>
  <c r="K43" i="1"/>
  <c r="L43" i="1" s="1"/>
  <c r="K87" i="1"/>
  <c r="L87" i="1" s="1"/>
  <c r="K4" i="1"/>
  <c r="K105" i="1"/>
  <c r="L105" i="1" s="1"/>
  <c r="K103" i="1"/>
  <c r="L103" i="1" s="1"/>
  <c r="K101" i="1"/>
  <c r="L101" i="1" s="1"/>
  <c r="K98" i="1"/>
  <c r="L98" i="1" s="1"/>
  <c r="K95" i="1"/>
  <c r="L95" i="1" s="1"/>
  <c r="K93" i="1"/>
  <c r="L93" i="1" s="1"/>
  <c r="K91" i="1"/>
  <c r="L91" i="1" s="1"/>
  <c r="K89" i="1"/>
  <c r="L89" i="1" s="1"/>
  <c r="K85" i="1"/>
  <c r="L85" i="1" s="1"/>
  <c r="K83" i="1"/>
  <c r="L83" i="1" s="1"/>
  <c r="K81" i="1"/>
  <c r="L81" i="1" s="1"/>
  <c r="K78" i="1"/>
  <c r="L78" i="1" s="1"/>
  <c r="K76" i="1"/>
  <c r="L76" i="1" s="1"/>
  <c r="K73" i="1"/>
  <c r="K41" i="1"/>
  <c r="L41" i="1" s="1"/>
  <c r="F109" i="1"/>
  <c r="F108" i="1"/>
  <c r="F110" i="1" s="1"/>
  <c r="F114" i="1" s="1"/>
  <c r="F105" i="1"/>
  <c r="F104" i="1"/>
  <c r="F103" i="1"/>
  <c r="F102" i="1"/>
  <c r="F101" i="1"/>
  <c r="F99" i="1"/>
  <c r="F98" i="1"/>
  <c r="F96" i="1"/>
  <c r="F95" i="1"/>
  <c r="F94" i="1"/>
  <c r="F93" i="1"/>
  <c r="F92" i="1"/>
  <c r="F91" i="1"/>
  <c r="F90" i="1"/>
  <c r="F89" i="1"/>
  <c r="F88" i="1"/>
  <c r="F87" i="1"/>
  <c r="F85" i="1"/>
  <c r="F84" i="1"/>
  <c r="F83" i="1"/>
  <c r="F82" i="1"/>
  <c r="F81" i="1"/>
  <c r="F79" i="1"/>
  <c r="F78" i="1"/>
  <c r="F77" i="1"/>
  <c r="F76" i="1"/>
  <c r="F75" i="1"/>
  <c r="F43" i="1"/>
  <c r="F41" i="1"/>
  <c r="F4" i="1"/>
  <c r="L4" i="1" l="1"/>
  <c r="H23" i="1"/>
  <c r="I23" i="1" s="1"/>
  <c r="J23" i="1" s="1"/>
  <c r="K23" i="1" l="1"/>
  <c r="G110" i="1"/>
  <c r="G114" i="1" s="1"/>
  <c r="L23" i="1" l="1"/>
  <c r="L107" i="1" s="1"/>
  <c r="K107" i="1"/>
</calcChain>
</file>

<file path=xl/sharedStrings.xml><?xml version="1.0" encoding="utf-8"?>
<sst xmlns="http://schemas.openxmlformats.org/spreadsheetml/2006/main" count="316" uniqueCount="252">
  <si>
    <t>№</t>
  </si>
  <si>
    <t>Вид работ</t>
  </si>
  <si>
    <t>Периодичность</t>
  </si>
  <si>
    <t>Годовая плата (рублей)</t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</si>
  <si>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</si>
  <si>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</si>
  <si>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</si>
  <si>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</si>
  <si>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</si>
  <si>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</si>
  <si>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</si>
  <si>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</si>
  <si>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</si>
  <si>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</si>
  <si>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</si>
  <si>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</si>
  <si>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</si>
  <si>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</si>
  <si>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</si>
  <si>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</si>
  <si>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</si>
  <si>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</si>
  <si>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</si>
  <si>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</si>
  <si>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</si>
  <si>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</si>
  <si>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</si>
  <si>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</si>
  <si>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</si>
  <si>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</si>
  <si>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</si>
  <si>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</si>
  <si>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</si>
  <si>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</si>
  <si>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</si>
  <si>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</si>
  <si>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</si>
  <si>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</si>
  <si>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</si>
  <si>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</si>
  <si>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</si>
  <si>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</si>
  <si>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</si>
  <si>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</si>
  <si>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</si>
  <si>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</si>
  <si>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</si>
  <si>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</si>
  <si>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</si>
  <si>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</si>
  <si>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</si>
  <si>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</si>
  <si>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</si>
  <si>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</si>
  <si>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</si>
  <si>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</si>
  <si>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</si>
  <si>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</si>
  <si>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</si>
  <si>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</si>
  <si>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</si>
  <si>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</si>
  <si>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</si>
  <si>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</si>
  <si>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</si>
  <si>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</si>
  <si>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</si>
  <si>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</si>
  <si>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</si>
  <si>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</si>
  <si>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</si>
  <si>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</si>
  <si>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</si>
  <si>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</si>
  <si>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</si>
  <si>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</si>
  <si>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</si>
  <si>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</si>
  <si>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</si>
  <si>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</si>
  <si>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</si>
  <si>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</si>
  <si>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</si>
  <si>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</si>
  <si>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</si>
  <si>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</si>
  <si>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</si>
  <si>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</si>
  <si>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</si>
  <si>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</si>
  <si>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</si>
  <si>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</si>
  <si>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Уборка контейнерных площадок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</si>
  <si>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</si>
  <si>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</si>
  <si>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</si>
  <si>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</si>
  <si>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</si>
  <si>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</si>
  <si>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</si>
  <si>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</si>
  <si>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</si>
  <si>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</si>
  <si>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</si>
  <si>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</si>
  <si>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</si>
  <si>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</si>
  <si>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</si>
  <si>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</si>
  <si>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</si>
  <si>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</si>
  <si>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</si>
  <si>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</si>
  <si>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</si>
  <si>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</si>
  <si>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</si>
  <si>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</si>
  <si>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</si>
  <si>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</si>
  <si>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</si>
  <si>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</si>
  <si>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</si>
  <si>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</si>
  <si>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</si>
  <si>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</si>
  <si>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</si>
  <si>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</si>
  <si>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</si>
  <si>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</si>
  <si>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</si>
  <si>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</si>
  <si>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</si>
  <si>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</si>
  <si>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</si>
  <si>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</si>
  <si>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</si>
  <si>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</si>
  <si>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</si>
  <si>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</si>
  <si>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</si>
  <si>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</si>
  <si>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</si>
  <si>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</si>
  <si>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</si>
  <si>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</si>
  <si>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</si>
  <si>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</si>
  <si>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</si>
  <si>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</si>
  <si>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</si>
  <si>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</si>
  <si>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</si>
  <si>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</si>
  <si>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</si>
  <si>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</si>
  <si>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</si>
  <si>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</si>
  <si>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</si>
  <si>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</si>
  <si>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</si>
  <si>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</si>
  <si>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</si>
  <si>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</si>
  <si>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</si>
  <si>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</si>
  <si>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</si>
  <si>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</si>
  <si>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</si>
  <si>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</si>
  <si>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</si>
  <si>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</si>
  <si>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</si>
  <si>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</si>
  <si>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</si>
  <si>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</si>
  <si>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</si>
  <si>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</si>
  <si>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</si>
  <si>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</si>
  <si>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</si>
  <si>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</si>
  <si>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</si>
  <si>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</si>
  <si>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</si>
  <si>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</si>
  <si>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</si>
  <si>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</si>
  <si>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</si>
  <si>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</si>
  <si>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</si>
  <si>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</si>
  <si>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</si>
  <si>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</si>
  <si>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</si>
  <si>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</si>
  <si>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</si>
  <si>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</si>
  <si>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</si>
  <si>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</si>
  <si>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</si>
  <si>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</si>
  <si>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</si>
  <si>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</si>
  <si>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</si>
  <si>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</si>
  <si>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</si>
  <si>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</si>
  <si>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</si>
  <si>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</si>
  <si>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</si>
  <si>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</si>
  <si>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</si>
  <si>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</si>
  <si>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</si>
  <si>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</si>
  <si>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</si>
  <si>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</si>
  <si>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</si>
  <si>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</si>
  <si>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</si>
  <si>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Электроэнергия на ОДН</t>
  </si>
  <si>
    <t>6.3.</t>
  </si>
  <si>
    <t>Затраты на охрану труда работников РЭС</t>
  </si>
  <si>
    <t>6.4.</t>
  </si>
  <si>
    <t>Утилизация люминесцентных ламп</t>
  </si>
  <si>
    <t>6.5.</t>
  </si>
  <si>
    <t>Непредвиденные работы по текущему ремонту общего имущества жилого дома</t>
  </si>
  <si>
    <t>6.6.</t>
  </si>
  <si>
    <t>Услуги ООО "РРКЦ"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</si>
  <si>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</si>
  <si>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</si>
  <si>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</si>
  <si>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</si>
  <si>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</si>
  <si>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Техобслуживание и ремонт домофона</t>
  </si>
  <si>
    <t>9.</t>
  </si>
  <si>
    <t>Итого содержание жилья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</si>
  <si>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</si>
  <si>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</si>
  <si>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</si>
  <si>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,</t>
  </si>
  <si>
    <r>
      <t>ул. Губкина, д. 6                                                 Площадь, м</t>
    </r>
    <r>
      <rPr>
        <vertAlign val="superscript"/>
        <sz val="9"/>
        <rFont val="Arial Cyr"/>
        <family val="2"/>
        <charset val="204"/>
      </rPr>
      <t>2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</si>
  <si>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2016г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</si>
  <si>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месяц)2017г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</si>
  <si>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месяц)2018г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</si>
  <si>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месяц)2019г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</si>
  <si>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месяц)2020г</t>
    </r>
  </si>
  <si>
    <t>6.2.</t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</si>
  <si>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</si>
  <si>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2022 г. (9,13%)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</si>
  <si>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2023 г. (12,79%)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</si>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</sst>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6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/>
    <xf numFmtId="0" fontId="4" fillId="0" borderId="1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6"/>
  <sheetViews>
    <sheetView windowProtection="1" tabSelected="1" zoomScaleNormal="100" workbookViewId="0">
      <pane xSplit="2" ySplit="1" topLeftCell="C98" activePane="bottomRight" state="frozen"/>
      <selection pane="topRight" activeCell="C1" sqref="C1"/>
      <selection pane="bottomLeft" activeCell="A104" sqref="A104"/>
      <selection pane="bottomRight" activeCell="N88" sqref="N88"/>
    </sheetView>
  </sheetViews>
  <sheetFormatPr defaultRowHeight="12.75"/>
  <cols>
    <col min="1" max="1" width="5.28515625" style="2" bestFit="1" customWidth="1"/>
    <col min="2" max="2" width="56" style="3" bestFit="1" customWidth="1"/>
    <col min="3" max="3" width="13.5703125" style="3" bestFit="1" customWidth="1"/>
    <col min="4" max="4" width="12.42578125" style="3" bestFit="1" customWidth="1"/>
    <col min="5" max="9" width="11.85546875" style="3" hidden="1" customWidth="1"/>
    <col min="10" max="11" width="15.28515625" style="3" hidden="1" customWidth="1"/>
    <col min="12" max="12" width="15.28515625" style="3" bestFit="1" customWidth="1"/>
    <col min="13" max="13" width="13.140625" style="3" customWidth="1"/>
    <col min="14" max="249" width="8.7109375" style="3"/>
    <col min="250" max="250" width="4.7109375" style="3"/>
    <col min="251" max="251" width="20.28515625" style="3"/>
    <col min="252" max="252" width="15.42578125" style="3"/>
    <col min="253" max="253" width="9.85546875" style="3"/>
    <col min="254" max="1025" width="8.7109375" style="3"/>
  </cols>
  <sheetData>
    <row r="1" spans="1:1024" s="4" customFormat="1" ht="73.5">
      <c r="A1" s="24" t="s">
        <v>0</v>
      </c>
      <c r="B1" s="24" t="s">
        <v>1</v>
      </c>
      <c r="C1" s="24" t="s">
        <v>2</v>
      </c>
      <c r="D1" s="24" t="s">
        <v>3</v>
      </c>
      <c r="E1" s="24" t="s">
        <v>242</v>
      </c>
      <c r="F1" s="24" t="s">
        <v>243</v>
      </c>
      <c r="G1" s="24" t="s">
        <v>244</v>
      </c>
      <c r="H1" s="24" t="s">
        <v>245</v>
      </c>
      <c r="I1" s="24" t="s">
        <v>246</v>
      </c>
      <c r="J1" s="24" t="s">
        <v>248</v>
      </c>
      <c r="K1" s="24" t="s">
        <v>249</v>
      </c>
      <c r="L1" s="24" t="s">
        <v>250</v>
      </c>
      <c r="M1" s="24" t="s">
        <v>251</v>
      </c>
    </row>
    <row r="2" spans="1:1024" ht="13.5">
      <c r="A2" s="5"/>
      <c r="B2" s="6" t="s">
        <v>241</v>
      </c>
      <c r="C2" s="6">
        <v>5669</v>
      </c>
      <c r="D2" s="7"/>
      <c r="E2" s="7"/>
      <c r="F2" s="7"/>
      <c r="G2" s="7"/>
      <c r="H2" s="7"/>
      <c r="I2" s="7"/>
      <c r="J2" s="7"/>
      <c r="K2" s="7"/>
      <c r="L2" s="27"/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33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28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5</v>
      </c>
      <c r="B4" s="6" t="s">
        <v>6</v>
      </c>
      <c r="C4" s="6"/>
      <c r="D4" s="7">
        <f>M4*12*C$2</f>
        <v>129933.48</v>
      </c>
      <c r="E4" s="7">
        <v>1.1499999999999999</v>
      </c>
      <c r="F4" s="7">
        <f>E4*1.065</f>
        <v>1.2247499999999998</v>
      </c>
      <c r="G4" s="7">
        <v>1.28</v>
      </c>
      <c r="H4" s="7">
        <f>G4*1.044</f>
        <v>1.3363200000000002</v>
      </c>
      <c r="I4" s="7">
        <f>H4*1.036</f>
        <v>1.3844275200000002</v>
      </c>
      <c r="J4" s="7">
        <f>I4*1.049</f>
        <v>1.4522644684800001</v>
      </c>
      <c r="K4" s="7">
        <f>J4*1.0913</f>
        <v>1.584856214452224</v>
      </c>
      <c r="L4" s="28">
        <f>K4*1.1279</f>
        <v>1.7875593242806633</v>
      </c>
      <c r="M4" s="28">
        <f>ROUND(L4*1.0701,2)</f>
        <v>1.91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7</v>
      </c>
      <c r="B5" s="6" t="s">
        <v>8</v>
      </c>
      <c r="C5" s="8" t="s">
        <v>9</v>
      </c>
      <c r="D5" s="7"/>
      <c r="E5" s="7"/>
      <c r="F5" s="7"/>
      <c r="G5" s="7"/>
      <c r="H5" s="7"/>
      <c r="I5" s="7"/>
      <c r="J5" s="7"/>
      <c r="K5" s="7"/>
      <c r="L5" s="28"/>
      <c r="M5" s="28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10</v>
      </c>
      <c r="B6" s="6" t="s">
        <v>11</v>
      </c>
      <c r="C6" s="8" t="s">
        <v>12</v>
      </c>
      <c r="D6" s="7"/>
      <c r="E6" s="7"/>
      <c r="F6" s="7"/>
      <c r="G6" s="7"/>
      <c r="H6" s="7"/>
      <c r="I6" s="7"/>
      <c r="J6" s="7"/>
      <c r="K6" s="7"/>
      <c r="L6" s="28"/>
      <c r="M6" s="28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9" t="s">
        <v>13</v>
      </c>
      <c r="B7" s="6" t="s">
        <v>14</v>
      </c>
      <c r="C7" s="8" t="s">
        <v>15</v>
      </c>
      <c r="D7" s="7"/>
      <c r="E7" s="7"/>
      <c r="F7" s="7"/>
      <c r="G7" s="7"/>
      <c r="H7" s="7"/>
      <c r="I7" s="7"/>
      <c r="J7" s="7"/>
      <c r="K7" s="7"/>
      <c r="L7" s="28"/>
      <c r="M7" s="28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16</v>
      </c>
      <c r="B8" s="6" t="s">
        <v>17</v>
      </c>
      <c r="C8" s="8" t="s">
        <v>15</v>
      </c>
      <c r="D8" s="7"/>
      <c r="E8" s="7"/>
      <c r="F8" s="7"/>
      <c r="G8" s="7"/>
      <c r="H8" s="7"/>
      <c r="I8" s="7"/>
      <c r="J8" s="7"/>
      <c r="K8" s="7"/>
      <c r="L8" s="28"/>
      <c r="M8" s="2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18</v>
      </c>
      <c r="B9" s="6" t="s">
        <v>19</v>
      </c>
      <c r="C9" s="8" t="s">
        <v>20</v>
      </c>
      <c r="D9" s="7"/>
      <c r="E9" s="7"/>
      <c r="F9" s="7"/>
      <c r="G9" s="7"/>
      <c r="H9" s="7"/>
      <c r="I9" s="7"/>
      <c r="J9" s="7"/>
      <c r="K9" s="7"/>
      <c r="L9" s="28"/>
      <c r="M9" s="28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21</v>
      </c>
      <c r="B10" s="6" t="s">
        <v>22</v>
      </c>
      <c r="C10" s="8" t="s">
        <v>15</v>
      </c>
      <c r="D10" s="7"/>
      <c r="E10" s="7"/>
      <c r="F10" s="7"/>
      <c r="G10" s="7"/>
      <c r="H10" s="7"/>
      <c r="I10" s="7"/>
      <c r="J10" s="7"/>
      <c r="K10" s="7"/>
      <c r="L10" s="28"/>
      <c r="M10" s="28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23</v>
      </c>
      <c r="B11" s="6" t="s">
        <v>24</v>
      </c>
      <c r="C11" s="8" t="s">
        <v>25</v>
      </c>
      <c r="D11" s="7"/>
      <c r="E11" s="7"/>
      <c r="F11" s="7"/>
      <c r="G11" s="7"/>
      <c r="H11" s="7"/>
      <c r="I11" s="7"/>
      <c r="J11" s="7"/>
      <c r="K11" s="7"/>
      <c r="L11" s="28"/>
      <c r="M11" s="28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0" t="s">
        <v>26</v>
      </c>
      <c r="B12" s="11" t="s">
        <v>27</v>
      </c>
      <c r="C12" s="10" t="s">
        <v>12</v>
      </c>
      <c r="D12" s="7"/>
      <c r="E12" s="12"/>
      <c r="F12" s="7"/>
      <c r="G12" s="7"/>
      <c r="H12" s="7"/>
      <c r="I12" s="7"/>
      <c r="J12" s="7"/>
      <c r="K12" s="7"/>
      <c r="L12" s="28"/>
      <c r="M12" s="28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0" t="s">
        <v>28</v>
      </c>
      <c r="B13" s="11" t="s">
        <v>29</v>
      </c>
      <c r="C13" s="10" t="s">
        <v>30</v>
      </c>
      <c r="D13" s="7"/>
      <c r="E13" s="12"/>
      <c r="F13" s="7"/>
      <c r="G13" s="7"/>
      <c r="H13" s="7"/>
      <c r="I13" s="7"/>
      <c r="J13" s="7"/>
      <c r="K13" s="7"/>
      <c r="L13" s="28"/>
      <c r="M13" s="2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33" t="s">
        <v>31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5"/>
      <c r="M14" s="2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0" t="s">
        <v>32</v>
      </c>
      <c r="B15" s="11" t="s">
        <v>33</v>
      </c>
      <c r="C15" s="10"/>
      <c r="D15" s="7"/>
      <c r="E15" s="10"/>
      <c r="F15" s="7"/>
      <c r="G15" s="7"/>
      <c r="H15" s="7"/>
      <c r="I15" s="7"/>
      <c r="J15" s="7"/>
      <c r="K15" s="7"/>
      <c r="L15" s="28"/>
      <c r="M15" s="2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0" t="s">
        <v>34</v>
      </c>
      <c r="B16" s="11" t="s">
        <v>35</v>
      </c>
      <c r="C16" s="10" t="s">
        <v>30</v>
      </c>
      <c r="D16" s="7"/>
      <c r="E16" s="12"/>
      <c r="F16" s="7"/>
      <c r="G16" s="7"/>
      <c r="H16" s="7"/>
      <c r="I16" s="7"/>
      <c r="J16" s="7"/>
      <c r="K16" s="7"/>
      <c r="L16" s="28"/>
      <c r="M16" s="2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0" t="s">
        <v>36</v>
      </c>
      <c r="B17" s="11" t="s">
        <v>37</v>
      </c>
      <c r="C17" s="10" t="s">
        <v>30</v>
      </c>
      <c r="D17" s="7"/>
      <c r="E17" s="12"/>
      <c r="F17" s="7"/>
      <c r="G17" s="7"/>
      <c r="H17" s="7"/>
      <c r="I17" s="7"/>
      <c r="J17" s="7"/>
      <c r="K17" s="7"/>
      <c r="L17" s="28"/>
      <c r="M17" s="2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>
      <c r="A18" s="10" t="s">
        <v>38</v>
      </c>
      <c r="B18" s="11" t="s">
        <v>39</v>
      </c>
      <c r="C18" s="10" t="s">
        <v>30</v>
      </c>
      <c r="D18" s="7"/>
      <c r="E18" s="12"/>
      <c r="F18" s="7"/>
      <c r="G18" s="7"/>
      <c r="H18" s="7"/>
      <c r="I18" s="7"/>
      <c r="J18" s="7"/>
      <c r="K18" s="7"/>
      <c r="L18" s="28"/>
      <c r="M18" s="2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>
      <c r="A19" s="10" t="s">
        <v>40</v>
      </c>
      <c r="B19" s="11" t="s">
        <v>41</v>
      </c>
      <c r="C19" s="10" t="s">
        <v>25</v>
      </c>
      <c r="D19" s="7"/>
      <c r="E19" s="12"/>
      <c r="F19" s="7"/>
      <c r="G19" s="7"/>
      <c r="H19" s="7"/>
      <c r="I19" s="7"/>
      <c r="J19" s="7"/>
      <c r="K19" s="7"/>
      <c r="L19" s="28"/>
      <c r="M19" s="2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0" t="s">
        <v>42</v>
      </c>
      <c r="B20" s="11" t="s">
        <v>43</v>
      </c>
      <c r="C20" s="10" t="s">
        <v>44</v>
      </c>
      <c r="D20" s="7"/>
      <c r="E20" s="12"/>
      <c r="F20" s="7"/>
      <c r="G20" s="7"/>
      <c r="H20" s="7"/>
      <c r="I20" s="7"/>
      <c r="J20" s="7"/>
      <c r="K20" s="7"/>
      <c r="L20" s="28"/>
      <c r="M20" s="2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0" t="s">
        <v>45</v>
      </c>
      <c r="B21" s="11" t="s">
        <v>46</v>
      </c>
      <c r="C21" s="8" t="s">
        <v>47</v>
      </c>
      <c r="D21" s="7"/>
      <c r="E21" s="12"/>
      <c r="F21" s="7"/>
      <c r="G21" s="7"/>
      <c r="H21" s="7"/>
      <c r="I21" s="7"/>
      <c r="J21" s="7"/>
      <c r="K21" s="7"/>
      <c r="L21" s="28"/>
      <c r="M21" s="2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33" t="s">
        <v>48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5"/>
      <c r="M22" s="2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" t="s">
        <v>49</v>
      </c>
      <c r="B23" s="6" t="s">
        <v>50</v>
      </c>
      <c r="C23" s="6"/>
      <c r="D23" s="7">
        <f>M23*12*C$2</f>
        <v>289119</v>
      </c>
      <c r="E23" s="7">
        <f>2.28+0.28</f>
        <v>2.5599999999999996</v>
      </c>
      <c r="F23" s="7">
        <f>E23*1.065</f>
        <v>2.7263999999999995</v>
      </c>
      <c r="G23" s="7">
        <f>F23*1.042</f>
        <v>2.8409087999999998</v>
      </c>
      <c r="H23" s="7">
        <f t="shared" ref="H23:H43" si="0">G23*1.044</f>
        <v>2.9659087872000001</v>
      </c>
      <c r="I23" s="7">
        <f t="shared" ref="I23:I43" si="1">H23*1.036</f>
        <v>3.0726815035392003</v>
      </c>
      <c r="J23" s="7">
        <f t="shared" ref="J23:J43" si="2">I23*1.049</f>
        <v>3.223242897212621</v>
      </c>
      <c r="K23" s="7">
        <f>J23*1.0913</f>
        <v>3.5175249737281331</v>
      </c>
      <c r="L23" s="28">
        <f t="shared" ref="L23:L43" si="3">K23*1.1279</f>
        <v>3.9674164178679612</v>
      </c>
      <c r="M23" s="28">
        <f>ROUND(L23*1.0701,2)</f>
        <v>4.25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" t="s">
        <v>51</v>
      </c>
      <c r="B24" s="6" t="s">
        <v>52</v>
      </c>
      <c r="C24" s="6"/>
      <c r="D24" s="7"/>
      <c r="E24" s="7"/>
      <c r="F24" s="7"/>
      <c r="G24" s="7"/>
      <c r="H24" s="7"/>
      <c r="I24" s="7"/>
      <c r="J24" s="7"/>
      <c r="K24" s="7"/>
      <c r="L24" s="28"/>
      <c r="M24" s="2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3" t="s">
        <v>53</v>
      </c>
      <c r="B25" s="6" t="s">
        <v>54</v>
      </c>
      <c r="C25" s="6" t="s">
        <v>55</v>
      </c>
      <c r="D25" s="7"/>
      <c r="E25" s="7"/>
      <c r="F25" s="7"/>
      <c r="G25" s="7"/>
      <c r="H25" s="7"/>
      <c r="I25" s="7"/>
      <c r="J25" s="7"/>
      <c r="K25" s="7"/>
      <c r="L25" s="28"/>
      <c r="M25" s="2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5" t="s">
        <v>56</v>
      </c>
      <c r="B26" s="6" t="s">
        <v>57</v>
      </c>
      <c r="C26" s="6" t="s">
        <v>58</v>
      </c>
      <c r="D26" s="7"/>
      <c r="E26" s="7"/>
      <c r="F26" s="7"/>
      <c r="G26" s="7"/>
      <c r="H26" s="7"/>
      <c r="I26" s="7"/>
      <c r="J26" s="7"/>
      <c r="K26" s="7"/>
      <c r="L26" s="28"/>
      <c r="M26" s="2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5" t="s">
        <v>59</v>
      </c>
      <c r="B27" s="6" t="s">
        <v>60</v>
      </c>
      <c r="C27" s="6" t="s">
        <v>61</v>
      </c>
      <c r="D27" s="7"/>
      <c r="E27" s="7"/>
      <c r="F27" s="7"/>
      <c r="G27" s="7"/>
      <c r="H27" s="7"/>
      <c r="I27" s="7"/>
      <c r="J27" s="7"/>
      <c r="K27" s="7"/>
      <c r="L27" s="28"/>
      <c r="M27" s="28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5" t="s">
        <v>62</v>
      </c>
      <c r="B28" s="6" t="s">
        <v>63</v>
      </c>
      <c r="C28" s="6" t="s">
        <v>64</v>
      </c>
      <c r="D28" s="7"/>
      <c r="E28" s="7"/>
      <c r="F28" s="7"/>
      <c r="G28" s="7"/>
      <c r="H28" s="7"/>
      <c r="I28" s="7"/>
      <c r="J28" s="7"/>
      <c r="K28" s="7"/>
      <c r="L28" s="28"/>
      <c r="M28" s="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5" t="s">
        <v>65</v>
      </c>
      <c r="B29" s="6" t="s">
        <v>66</v>
      </c>
      <c r="C29" s="6" t="s">
        <v>67</v>
      </c>
      <c r="D29" s="7"/>
      <c r="E29" s="7"/>
      <c r="F29" s="7"/>
      <c r="G29" s="7"/>
      <c r="H29" s="7"/>
      <c r="I29" s="7"/>
      <c r="J29" s="7"/>
      <c r="K29" s="7"/>
      <c r="L29" s="28"/>
      <c r="M29" s="28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" t="s">
        <v>68</v>
      </c>
      <c r="B30" s="6" t="s">
        <v>69</v>
      </c>
      <c r="C30" s="6" t="s">
        <v>70</v>
      </c>
      <c r="D30" s="7"/>
      <c r="E30" s="7"/>
      <c r="F30" s="7"/>
      <c r="G30" s="7"/>
      <c r="H30" s="7"/>
      <c r="I30" s="7"/>
      <c r="J30" s="7"/>
      <c r="K30" s="7"/>
      <c r="L30" s="28"/>
      <c r="M30" s="28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71</v>
      </c>
      <c r="B31" s="6" t="s">
        <v>72</v>
      </c>
      <c r="C31" s="6"/>
      <c r="D31" s="7"/>
      <c r="E31" s="7"/>
      <c r="F31" s="7"/>
      <c r="G31" s="7"/>
      <c r="H31" s="7"/>
      <c r="I31" s="7"/>
      <c r="J31" s="7"/>
      <c r="K31" s="7"/>
      <c r="L31" s="28"/>
      <c r="M31" s="28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73</v>
      </c>
      <c r="B32" s="6" t="s">
        <v>74</v>
      </c>
      <c r="C32" s="6" t="s">
        <v>75</v>
      </c>
      <c r="D32" s="7"/>
      <c r="E32" s="7"/>
      <c r="F32" s="7"/>
      <c r="G32" s="7"/>
      <c r="H32" s="7"/>
      <c r="I32" s="7"/>
      <c r="J32" s="7"/>
      <c r="K32" s="7"/>
      <c r="L32" s="28"/>
      <c r="M32" s="28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5" t="s">
        <v>76</v>
      </c>
      <c r="B33" s="6" t="s">
        <v>77</v>
      </c>
      <c r="C33" s="6" t="s">
        <v>78</v>
      </c>
      <c r="D33" s="7"/>
      <c r="E33" s="7"/>
      <c r="F33" s="7"/>
      <c r="G33" s="7"/>
      <c r="H33" s="7"/>
      <c r="I33" s="7"/>
      <c r="J33" s="7"/>
      <c r="K33" s="7"/>
      <c r="L33" s="28"/>
      <c r="M33" s="2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5" t="s">
        <v>79</v>
      </c>
      <c r="B34" s="6" t="s">
        <v>80</v>
      </c>
      <c r="C34" s="6" t="s">
        <v>81</v>
      </c>
      <c r="D34" s="7"/>
      <c r="E34" s="7"/>
      <c r="F34" s="7"/>
      <c r="G34" s="7"/>
      <c r="H34" s="7"/>
      <c r="I34" s="7"/>
      <c r="J34" s="7"/>
      <c r="K34" s="7"/>
      <c r="L34" s="28"/>
      <c r="M34" s="28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" t="s">
        <v>82</v>
      </c>
      <c r="B35" s="6" t="s">
        <v>69</v>
      </c>
      <c r="C35" s="6" t="s">
        <v>70</v>
      </c>
      <c r="D35" s="7"/>
      <c r="E35" s="7"/>
      <c r="F35" s="7"/>
      <c r="G35" s="7"/>
      <c r="H35" s="7"/>
      <c r="I35" s="7"/>
      <c r="J35" s="7"/>
      <c r="K35" s="7"/>
      <c r="L35" s="28"/>
      <c r="M35" s="28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5" t="s">
        <v>83</v>
      </c>
      <c r="B36" s="6" t="s">
        <v>84</v>
      </c>
      <c r="C36" s="6" t="s">
        <v>75</v>
      </c>
      <c r="D36" s="7"/>
      <c r="E36" s="7"/>
      <c r="F36" s="7"/>
      <c r="G36" s="7"/>
      <c r="H36" s="7"/>
      <c r="I36" s="7"/>
      <c r="J36" s="7"/>
      <c r="K36" s="7"/>
      <c r="L36" s="28"/>
      <c r="M36" s="28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3" t="s">
        <v>85</v>
      </c>
      <c r="B37" s="6" t="s">
        <v>86</v>
      </c>
      <c r="C37" s="6" t="s">
        <v>75</v>
      </c>
      <c r="D37" s="7"/>
      <c r="E37" s="7"/>
      <c r="F37" s="7"/>
      <c r="G37" s="7"/>
      <c r="H37" s="7"/>
      <c r="I37" s="7"/>
      <c r="J37" s="7"/>
      <c r="K37" s="7"/>
      <c r="L37" s="28"/>
      <c r="M37" s="28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3" t="s">
        <v>87</v>
      </c>
      <c r="B38" s="6" t="s">
        <v>88</v>
      </c>
      <c r="C38" s="6"/>
      <c r="D38" s="7"/>
      <c r="E38" s="7"/>
      <c r="F38" s="7"/>
      <c r="G38" s="7"/>
      <c r="H38" s="7"/>
      <c r="I38" s="7"/>
      <c r="J38" s="7"/>
      <c r="K38" s="7"/>
      <c r="L38" s="28"/>
      <c r="M38" s="2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5" t="s">
        <v>89</v>
      </c>
      <c r="B39" s="6" t="s">
        <v>90</v>
      </c>
      <c r="C39" s="6" t="s">
        <v>91</v>
      </c>
      <c r="D39" s="7"/>
      <c r="E39" s="7"/>
      <c r="F39" s="7"/>
      <c r="G39" s="7"/>
      <c r="H39" s="7"/>
      <c r="I39" s="7"/>
      <c r="J39" s="7"/>
      <c r="K39" s="7"/>
      <c r="L39" s="28"/>
      <c r="M39" s="28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>
      <c r="A40" s="5"/>
      <c r="B40" s="6" t="s">
        <v>92</v>
      </c>
      <c r="C40" s="6" t="s">
        <v>70</v>
      </c>
      <c r="D40" s="7"/>
      <c r="E40" s="7"/>
      <c r="F40" s="7"/>
      <c r="G40" s="7"/>
      <c r="H40" s="7"/>
      <c r="I40" s="7"/>
      <c r="J40" s="7"/>
      <c r="K40" s="7"/>
      <c r="L40" s="28"/>
      <c r="M40" s="28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>
      <c r="A41" s="5" t="s">
        <v>93</v>
      </c>
      <c r="B41" s="6" t="s">
        <v>94</v>
      </c>
      <c r="C41" s="6" t="s">
        <v>95</v>
      </c>
      <c r="D41" s="7">
        <f>M41*12*C$2</f>
        <v>8163.36</v>
      </c>
      <c r="E41" s="7">
        <v>7.0000000000000007E-2</v>
      </c>
      <c r="F41" s="7">
        <f>E41*1.065</f>
        <v>7.4550000000000005E-2</v>
      </c>
      <c r="G41" s="7">
        <v>0.08</v>
      </c>
      <c r="H41" s="7">
        <f t="shared" si="0"/>
        <v>8.3520000000000011E-2</v>
      </c>
      <c r="I41" s="7">
        <f t="shared" si="1"/>
        <v>8.6526720000000015E-2</v>
      </c>
      <c r="J41" s="7">
        <f t="shared" si="2"/>
        <v>9.0766529280000008E-2</v>
      </c>
      <c r="K41" s="7">
        <f>J41*1.0913</f>
        <v>9.9053513403264001E-2</v>
      </c>
      <c r="L41" s="28">
        <f t="shared" si="3"/>
        <v>0.11172245776754146</v>
      </c>
      <c r="M41" s="28">
        <f>ROUND(L41*1.0701,2)</f>
        <v>0.12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2.75" customHeight="1">
      <c r="A42" s="33" t="s">
        <v>96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5"/>
      <c r="M42" s="28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4">
      <c r="A43" s="25" t="s">
        <v>97</v>
      </c>
      <c r="B43" s="22" t="s">
        <v>98</v>
      </c>
      <c r="C43" s="25"/>
      <c r="D43" s="7">
        <f>M43*12*C$2</f>
        <v>170750.28</v>
      </c>
      <c r="E43" s="14">
        <v>1.51</v>
      </c>
      <c r="F43" s="7">
        <f>E43*1.065</f>
        <v>1.60815</v>
      </c>
      <c r="G43" s="7">
        <v>1.68</v>
      </c>
      <c r="H43" s="7">
        <f t="shared" si="0"/>
        <v>1.7539199999999999</v>
      </c>
      <c r="I43" s="7">
        <f t="shared" si="1"/>
        <v>1.81706112</v>
      </c>
      <c r="J43" s="7">
        <f t="shared" si="2"/>
        <v>1.9060971148799999</v>
      </c>
      <c r="K43" s="7">
        <f>J43*1.0913</f>
        <v>2.0801237814685436</v>
      </c>
      <c r="L43" s="28">
        <f t="shared" si="3"/>
        <v>2.3461716131183703</v>
      </c>
      <c r="M43" s="28">
        <f>ROUND(L43*1.0701,2)</f>
        <v>2.5099999999999998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25" t="s">
        <v>99</v>
      </c>
      <c r="B44" s="22" t="s">
        <v>100</v>
      </c>
      <c r="C44" s="25"/>
      <c r="D44" s="7"/>
      <c r="E44" s="25"/>
      <c r="F44" s="7"/>
      <c r="G44" s="7"/>
      <c r="H44" s="7"/>
      <c r="I44" s="7"/>
      <c r="J44" s="7"/>
      <c r="K44" s="7"/>
      <c r="L44" s="28"/>
      <c r="M44" s="28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>
      <c r="A45" s="15" t="s">
        <v>101</v>
      </c>
      <c r="B45" s="16" t="s">
        <v>102</v>
      </c>
      <c r="C45" s="15" t="s">
        <v>103</v>
      </c>
      <c r="D45" s="7"/>
      <c r="E45" s="6"/>
      <c r="F45" s="7"/>
      <c r="G45" s="7"/>
      <c r="H45" s="7"/>
      <c r="I45" s="7"/>
      <c r="J45" s="7"/>
      <c r="K45" s="7"/>
      <c r="L45" s="28"/>
      <c r="M45" s="28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>
      <c r="A46" s="15" t="s">
        <v>104</v>
      </c>
      <c r="B46" s="16" t="s">
        <v>105</v>
      </c>
      <c r="C46" s="15" t="s">
        <v>20</v>
      </c>
      <c r="D46" s="7"/>
      <c r="E46" s="6"/>
      <c r="F46" s="7"/>
      <c r="G46" s="7"/>
      <c r="H46" s="7"/>
      <c r="I46" s="7"/>
      <c r="J46" s="7"/>
      <c r="K46" s="7"/>
      <c r="L46" s="28"/>
      <c r="M46" s="28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>
      <c r="A47" s="25" t="s">
        <v>106</v>
      </c>
      <c r="B47" s="22" t="s">
        <v>107</v>
      </c>
      <c r="C47" s="25"/>
      <c r="D47" s="7"/>
      <c r="E47" s="25"/>
      <c r="F47" s="7"/>
      <c r="G47" s="7"/>
      <c r="H47" s="7"/>
      <c r="I47" s="7"/>
      <c r="J47" s="7"/>
      <c r="K47" s="7"/>
      <c r="L47" s="28"/>
      <c r="M47" s="28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6">
      <c r="A48" s="25" t="s">
        <v>108</v>
      </c>
      <c r="B48" s="16" t="s">
        <v>109</v>
      </c>
      <c r="C48" s="15" t="s">
        <v>47</v>
      </c>
      <c r="D48" s="7"/>
      <c r="E48" s="25"/>
      <c r="F48" s="7"/>
      <c r="G48" s="7"/>
      <c r="H48" s="7"/>
      <c r="I48" s="7"/>
      <c r="J48" s="7"/>
      <c r="K48" s="7"/>
      <c r="L48" s="28"/>
      <c r="M48" s="2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>
      <c r="A49" s="15" t="s">
        <v>110</v>
      </c>
      <c r="B49" s="16" t="s">
        <v>111</v>
      </c>
      <c r="C49" s="15" t="s">
        <v>15</v>
      </c>
      <c r="D49" s="7"/>
      <c r="E49" s="6"/>
      <c r="F49" s="7"/>
      <c r="G49" s="7"/>
      <c r="H49" s="7"/>
      <c r="I49" s="7"/>
      <c r="J49" s="7"/>
      <c r="K49" s="7"/>
      <c r="L49" s="28"/>
      <c r="M49" s="28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5" t="s">
        <v>112</v>
      </c>
      <c r="B50" s="16" t="s">
        <v>113</v>
      </c>
      <c r="C50" s="15" t="s">
        <v>47</v>
      </c>
      <c r="D50" s="7"/>
      <c r="E50" s="6"/>
      <c r="F50" s="7"/>
      <c r="G50" s="7"/>
      <c r="H50" s="7"/>
      <c r="I50" s="7"/>
      <c r="J50" s="7"/>
      <c r="K50" s="7"/>
      <c r="L50" s="28"/>
      <c r="M50" s="28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5" t="s">
        <v>114</v>
      </c>
      <c r="B51" s="16" t="s">
        <v>115</v>
      </c>
      <c r="C51" s="15" t="s">
        <v>47</v>
      </c>
      <c r="D51" s="7"/>
      <c r="E51" s="6"/>
      <c r="F51" s="7"/>
      <c r="G51" s="7"/>
      <c r="H51" s="7"/>
      <c r="I51" s="7"/>
      <c r="J51" s="7"/>
      <c r="K51" s="7"/>
      <c r="L51" s="28"/>
      <c r="M51" s="28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5" t="s">
        <v>116</v>
      </c>
      <c r="B52" s="16" t="s">
        <v>117</v>
      </c>
      <c r="C52" s="15" t="s">
        <v>47</v>
      </c>
      <c r="D52" s="7"/>
      <c r="E52" s="6"/>
      <c r="F52" s="7"/>
      <c r="G52" s="7"/>
      <c r="H52" s="7"/>
      <c r="I52" s="7"/>
      <c r="J52" s="7"/>
      <c r="K52" s="7"/>
      <c r="L52" s="28"/>
      <c r="M52" s="28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6">
      <c r="A53" s="15" t="s">
        <v>118</v>
      </c>
      <c r="B53" s="16" t="s">
        <v>119</v>
      </c>
      <c r="C53" s="15" t="s">
        <v>47</v>
      </c>
      <c r="D53" s="7"/>
      <c r="E53" s="6"/>
      <c r="F53" s="7"/>
      <c r="G53" s="7"/>
      <c r="H53" s="7"/>
      <c r="I53" s="7"/>
      <c r="J53" s="7"/>
      <c r="K53" s="7"/>
      <c r="L53" s="28"/>
      <c r="M53" s="28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25" t="s">
        <v>120</v>
      </c>
      <c r="B54" s="22" t="s">
        <v>121</v>
      </c>
      <c r="C54" s="25"/>
      <c r="D54" s="7"/>
      <c r="E54" s="25"/>
      <c r="F54" s="7"/>
      <c r="G54" s="7"/>
      <c r="H54" s="7"/>
      <c r="I54" s="7"/>
      <c r="J54" s="7"/>
      <c r="K54" s="7"/>
      <c r="L54" s="28"/>
      <c r="M54" s="28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A55" s="15" t="s">
        <v>122</v>
      </c>
      <c r="B55" s="16" t="s">
        <v>123</v>
      </c>
      <c r="C55" s="15" t="s">
        <v>124</v>
      </c>
      <c r="D55" s="7"/>
      <c r="E55" s="6"/>
      <c r="F55" s="7"/>
      <c r="G55" s="7"/>
      <c r="H55" s="7"/>
      <c r="I55" s="7"/>
      <c r="J55" s="7"/>
      <c r="K55" s="7"/>
      <c r="L55" s="28"/>
      <c r="M55" s="28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A56" s="15" t="s">
        <v>125</v>
      </c>
      <c r="B56" s="16" t="s">
        <v>126</v>
      </c>
      <c r="C56" s="15" t="s">
        <v>124</v>
      </c>
      <c r="D56" s="7"/>
      <c r="E56" s="6"/>
      <c r="F56" s="7"/>
      <c r="G56" s="7"/>
      <c r="H56" s="7"/>
      <c r="I56" s="7"/>
      <c r="J56" s="7"/>
      <c r="K56" s="7"/>
      <c r="L56" s="28"/>
      <c r="M56" s="28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5" t="s">
        <v>127</v>
      </c>
      <c r="B57" s="16" t="s">
        <v>128</v>
      </c>
      <c r="C57" s="15" t="s">
        <v>47</v>
      </c>
      <c r="D57" s="7"/>
      <c r="E57" s="6"/>
      <c r="F57" s="7"/>
      <c r="G57" s="7"/>
      <c r="H57" s="7"/>
      <c r="I57" s="7"/>
      <c r="J57" s="7"/>
      <c r="K57" s="7"/>
      <c r="L57" s="28"/>
      <c r="M57" s="28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5" t="s">
        <v>129</v>
      </c>
      <c r="B58" s="16" t="s">
        <v>130</v>
      </c>
      <c r="C58" s="15" t="s">
        <v>47</v>
      </c>
      <c r="D58" s="7"/>
      <c r="E58" s="6"/>
      <c r="F58" s="7"/>
      <c r="G58" s="7"/>
      <c r="H58" s="7"/>
      <c r="I58" s="7"/>
      <c r="J58" s="7"/>
      <c r="K58" s="7"/>
      <c r="L58" s="28"/>
      <c r="M58" s="2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5" t="s">
        <v>131</v>
      </c>
      <c r="B59" s="16" t="s">
        <v>132</v>
      </c>
      <c r="C59" s="15" t="s">
        <v>47</v>
      </c>
      <c r="D59" s="7"/>
      <c r="E59" s="6"/>
      <c r="F59" s="7"/>
      <c r="G59" s="7"/>
      <c r="H59" s="7"/>
      <c r="I59" s="7"/>
      <c r="J59" s="7"/>
      <c r="K59" s="7"/>
      <c r="L59" s="28"/>
      <c r="M59" s="28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6">
      <c r="A60" s="15" t="s">
        <v>133</v>
      </c>
      <c r="B60" s="16" t="s">
        <v>134</v>
      </c>
      <c r="C60" s="15" t="s">
        <v>47</v>
      </c>
      <c r="D60" s="7"/>
      <c r="E60" s="6"/>
      <c r="F60" s="7"/>
      <c r="G60" s="7"/>
      <c r="H60" s="7"/>
      <c r="I60" s="7"/>
      <c r="J60" s="7"/>
      <c r="K60" s="7"/>
      <c r="L60" s="28"/>
      <c r="M60" s="28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5" t="s">
        <v>135</v>
      </c>
      <c r="B61" s="16" t="s">
        <v>136</v>
      </c>
      <c r="C61" s="15" t="s">
        <v>15</v>
      </c>
      <c r="D61" s="7"/>
      <c r="E61" s="6"/>
      <c r="F61" s="7"/>
      <c r="G61" s="7"/>
      <c r="H61" s="7"/>
      <c r="I61" s="7"/>
      <c r="J61" s="7"/>
      <c r="K61" s="7"/>
      <c r="L61" s="28"/>
      <c r="M61" s="28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5" t="s">
        <v>137</v>
      </c>
      <c r="B62" s="16" t="s">
        <v>138</v>
      </c>
      <c r="C62" s="15" t="s">
        <v>124</v>
      </c>
      <c r="D62" s="7"/>
      <c r="E62" s="6"/>
      <c r="F62" s="7"/>
      <c r="G62" s="7"/>
      <c r="H62" s="7"/>
      <c r="I62" s="7"/>
      <c r="J62" s="7"/>
      <c r="K62" s="7"/>
      <c r="L62" s="28"/>
      <c r="M62" s="28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A63" s="15" t="s">
        <v>139</v>
      </c>
      <c r="B63" s="16" t="s">
        <v>140</v>
      </c>
      <c r="C63" s="15" t="s">
        <v>15</v>
      </c>
      <c r="D63" s="7"/>
      <c r="E63" s="6"/>
      <c r="F63" s="7"/>
      <c r="G63" s="7"/>
      <c r="H63" s="7"/>
      <c r="I63" s="7"/>
      <c r="J63" s="7"/>
      <c r="K63" s="7"/>
      <c r="L63" s="28"/>
      <c r="M63" s="28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>
      <c r="A64" s="25" t="s">
        <v>141</v>
      </c>
      <c r="B64" s="22" t="s">
        <v>142</v>
      </c>
      <c r="C64" s="25"/>
      <c r="D64" s="7"/>
      <c r="E64" s="25"/>
      <c r="F64" s="7"/>
      <c r="G64" s="7"/>
      <c r="H64" s="7"/>
      <c r="I64" s="7"/>
      <c r="J64" s="7"/>
      <c r="K64" s="7"/>
      <c r="L64" s="28"/>
      <c r="M64" s="28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6">
      <c r="A65" s="15" t="s">
        <v>143</v>
      </c>
      <c r="B65" s="16" t="s">
        <v>144</v>
      </c>
      <c r="C65" s="15" t="s">
        <v>47</v>
      </c>
      <c r="D65" s="7"/>
      <c r="E65" s="15"/>
      <c r="F65" s="7"/>
      <c r="G65" s="7"/>
      <c r="H65" s="7"/>
      <c r="I65" s="7"/>
      <c r="J65" s="7"/>
      <c r="K65" s="7"/>
      <c r="L65" s="28"/>
      <c r="M65" s="28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A66" s="15" t="s">
        <v>145</v>
      </c>
      <c r="B66" s="16" t="s">
        <v>146</v>
      </c>
      <c r="C66" s="15" t="s">
        <v>124</v>
      </c>
      <c r="D66" s="7"/>
      <c r="E66" s="15"/>
      <c r="F66" s="7"/>
      <c r="G66" s="7"/>
      <c r="H66" s="7"/>
      <c r="I66" s="7"/>
      <c r="J66" s="7"/>
      <c r="K66" s="7"/>
      <c r="L66" s="28"/>
      <c r="M66" s="28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36">
      <c r="A67" s="15" t="s">
        <v>147</v>
      </c>
      <c r="B67" s="16" t="s">
        <v>148</v>
      </c>
      <c r="C67" s="15" t="s">
        <v>47</v>
      </c>
      <c r="D67" s="7"/>
      <c r="E67" s="15"/>
      <c r="F67" s="7"/>
      <c r="G67" s="7"/>
      <c r="H67" s="7"/>
      <c r="I67" s="7"/>
      <c r="J67" s="7"/>
      <c r="K67" s="7"/>
      <c r="L67" s="28"/>
      <c r="M67" s="28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5" t="s">
        <v>149</v>
      </c>
      <c r="B68" s="16" t="s">
        <v>150</v>
      </c>
      <c r="C68" s="15" t="s">
        <v>124</v>
      </c>
      <c r="D68" s="7"/>
      <c r="E68" s="15"/>
      <c r="F68" s="7"/>
      <c r="G68" s="7"/>
      <c r="H68" s="7"/>
      <c r="I68" s="7"/>
      <c r="J68" s="7"/>
      <c r="K68" s="7"/>
      <c r="L68" s="28"/>
      <c r="M68" s="2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A69" s="15" t="s">
        <v>151</v>
      </c>
      <c r="B69" s="16" t="s">
        <v>152</v>
      </c>
      <c r="C69" s="15" t="s">
        <v>95</v>
      </c>
      <c r="D69" s="7"/>
      <c r="E69" s="15"/>
      <c r="F69" s="7"/>
      <c r="G69" s="7"/>
      <c r="H69" s="7"/>
      <c r="I69" s="7"/>
      <c r="J69" s="7"/>
      <c r="K69" s="7"/>
      <c r="L69" s="28"/>
      <c r="M69" s="28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36">
      <c r="A70" s="15" t="s">
        <v>153</v>
      </c>
      <c r="B70" s="16" t="s">
        <v>154</v>
      </c>
      <c r="C70" s="15" t="s">
        <v>47</v>
      </c>
      <c r="D70" s="7"/>
      <c r="E70" s="15"/>
      <c r="F70" s="7"/>
      <c r="G70" s="7"/>
      <c r="H70" s="7"/>
      <c r="I70" s="7"/>
      <c r="J70" s="7"/>
      <c r="K70" s="7"/>
      <c r="L70" s="28"/>
      <c r="M70" s="28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24">
      <c r="A71" s="15" t="s">
        <v>155</v>
      </c>
      <c r="B71" s="16" t="s">
        <v>156</v>
      </c>
      <c r="C71" s="15" t="s">
        <v>124</v>
      </c>
      <c r="D71" s="7"/>
      <c r="E71" s="15"/>
      <c r="F71" s="7"/>
      <c r="G71" s="7"/>
      <c r="H71" s="7"/>
      <c r="I71" s="7"/>
      <c r="J71" s="7"/>
      <c r="K71" s="7"/>
      <c r="L71" s="28"/>
      <c r="M71" s="28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2.75" customHeight="1">
      <c r="A72" s="33" t="s">
        <v>157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5"/>
      <c r="M72" s="28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4">
      <c r="A73" s="25" t="s">
        <v>158</v>
      </c>
      <c r="B73" s="22" t="s">
        <v>159</v>
      </c>
      <c r="C73" s="25"/>
      <c r="D73" s="7">
        <f>SUM(D74:D99)</f>
        <v>297962.64</v>
      </c>
      <c r="E73" s="14">
        <v>2.65</v>
      </c>
      <c r="F73" s="7">
        <f>E73*1.065</f>
        <v>2.8222499999999999</v>
      </c>
      <c r="G73" s="7">
        <v>2.94</v>
      </c>
      <c r="H73" s="7">
        <f t="shared" ref="H73:H106" si="4">G73*1.044</f>
        <v>3.0693600000000001</v>
      </c>
      <c r="I73" s="7">
        <f t="shared" ref="I73:I112" si="5">H73*1.036</f>
        <v>3.1798569600000004</v>
      </c>
      <c r="J73" s="7">
        <f t="shared" ref="J73:J111" si="6">I73*1.049</f>
        <v>3.3356699510400003</v>
      </c>
      <c r="K73" s="7">
        <f>J73*1.0913-0.01</f>
        <v>3.6302166175699524</v>
      </c>
      <c r="L73" s="28">
        <f>K73*1.1279</f>
        <v>4.0945213229571493</v>
      </c>
      <c r="M73" s="28">
        <f>ROUND(L73*1.0701,2)</f>
        <v>4.38</v>
      </c>
      <c r="N73" s="30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25" t="s">
        <v>160</v>
      </c>
      <c r="B74" s="22" t="s">
        <v>161</v>
      </c>
      <c r="C74" s="25"/>
      <c r="D74" s="7"/>
      <c r="E74" s="25"/>
      <c r="F74" s="7"/>
      <c r="G74" s="7"/>
      <c r="H74" s="7"/>
      <c r="I74" s="7"/>
      <c r="J74" s="7"/>
      <c r="K74" s="7"/>
      <c r="L74" s="28"/>
      <c r="M74" s="28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5" t="s">
        <v>162</v>
      </c>
      <c r="B75" s="17" t="s">
        <v>163</v>
      </c>
      <c r="C75" s="15" t="s">
        <v>124</v>
      </c>
      <c r="D75" s="7">
        <f>M75*12*C$2</f>
        <v>30612.600000000002</v>
      </c>
      <c r="E75" s="18">
        <v>0.27100000000000002</v>
      </c>
      <c r="F75" s="7">
        <f t="shared" ref="F75:F85" si="7">E75*1.065</f>
        <v>0.28861500000000001</v>
      </c>
      <c r="G75" s="7">
        <v>0.30073683000000001</v>
      </c>
      <c r="H75" s="7">
        <f t="shared" si="4"/>
        <v>0.31396925052000002</v>
      </c>
      <c r="I75" s="7">
        <f t="shared" si="5"/>
        <v>0.32527214353872003</v>
      </c>
      <c r="J75" s="7">
        <f t="shared" si="6"/>
        <v>0.34121047857211728</v>
      </c>
      <c r="K75" s="7">
        <f>J75*1.0913</f>
        <v>0.37236299526575156</v>
      </c>
      <c r="L75" s="28">
        <f t="shared" ref="L75:L109" si="8">K75*1.1279</f>
        <v>0.41998822236024114</v>
      </c>
      <c r="M75" s="28">
        <f>ROUND(L75*1.0701,2)</f>
        <v>0.45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>
      <c r="A76" s="15" t="s">
        <v>164</v>
      </c>
      <c r="B76" s="17" t="s">
        <v>165</v>
      </c>
      <c r="C76" s="15" t="s">
        <v>124</v>
      </c>
      <c r="D76" s="7">
        <f t="shared" ref="D76:D79" si="9">M76*12*C$2</f>
        <v>12245.04</v>
      </c>
      <c r="E76" s="18">
        <v>0.106</v>
      </c>
      <c r="F76" s="7">
        <f t="shared" si="7"/>
        <v>0.11288999999999999</v>
      </c>
      <c r="G76" s="7">
        <v>0.11763137999999999</v>
      </c>
      <c r="H76" s="7">
        <f t="shared" si="4"/>
        <v>0.12280716072</v>
      </c>
      <c r="I76" s="7">
        <f t="shared" si="5"/>
        <v>0.12722821850592</v>
      </c>
      <c r="J76" s="7">
        <f t="shared" si="6"/>
        <v>0.13346240121271008</v>
      </c>
      <c r="K76" s="7">
        <f t="shared" ref="K76:K114" si="10">J76*1.0913</f>
        <v>0.14564751844343049</v>
      </c>
      <c r="L76" s="28">
        <f t="shared" si="8"/>
        <v>0.16427583605234525</v>
      </c>
      <c r="M76" s="28">
        <f>ROUND(L76*1.0701,2)</f>
        <v>0.18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4">
      <c r="A77" s="15" t="s">
        <v>166</v>
      </c>
      <c r="B77" s="17" t="s">
        <v>167</v>
      </c>
      <c r="C77" s="15" t="s">
        <v>124</v>
      </c>
      <c r="D77" s="7">
        <f t="shared" si="9"/>
        <v>6802.8000000000011</v>
      </c>
      <c r="E77" s="18">
        <v>5.8000000000000003E-2</v>
      </c>
      <c r="F77" s="7">
        <f t="shared" si="7"/>
        <v>6.1769999999999999E-2</v>
      </c>
      <c r="G77" s="7">
        <v>6.4364340000000006E-2</v>
      </c>
      <c r="H77" s="7">
        <f t="shared" si="4"/>
        <v>6.7196370960000015E-2</v>
      </c>
      <c r="I77" s="7">
        <f t="shared" si="5"/>
        <v>6.9615440314560018E-2</v>
      </c>
      <c r="J77" s="7">
        <f t="shared" si="6"/>
        <v>7.3026596889973455E-2</v>
      </c>
      <c r="K77" s="7">
        <f t="shared" si="10"/>
        <v>7.9693925186028025E-2</v>
      </c>
      <c r="L77" s="28">
        <f t="shared" si="8"/>
        <v>8.9886778217320995E-2</v>
      </c>
      <c r="M77" s="28">
        <f t="shared" ref="M77:M79" si="11">ROUND(L77*1.0701,2)</f>
        <v>0.1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4">
      <c r="A78" s="15" t="s">
        <v>168</v>
      </c>
      <c r="B78" s="17" t="s">
        <v>169</v>
      </c>
      <c r="C78" s="15" t="s">
        <v>124</v>
      </c>
      <c r="D78" s="7">
        <f t="shared" si="9"/>
        <v>1360.56</v>
      </c>
      <c r="E78" s="18">
        <v>1.2E-2</v>
      </c>
      <c r="F78" s="7">
        <f t="shared" si="7"/>
        <v>1.278E-2</v>
      </c>
      <c r="G78" s="7">
        <v>1.331676E-2</v>
      </c>
      <c r="H78" s="7">
        <f t="shared" si="4"/>
        <v>1.390269744E-2</v>
      </c>
      <c r="I78" s="7">
        <f t="shared" si="5"/>
        <v>1.440319454784E-2</v>
      </c>
      <c r="J78" s="7">
        <f t="shared" si="6"/>
        <v>1.510895108068416E-2</v>
      </c>
      <c r="K78" s="7">
        <f t="shared" si="10"/>
        <v>1.6488398314350623E-2</v>
      </c>
      <c r="L78" s="28">
        <f t="shared" si="8"/>
        <v>1.8597264458756067E-2</v>
      </c>
      <c r="M78" s="28">
        <f t="shared" si="11"/>
        <v>0.02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4">
      <c r="A79" s="15" t="s">
        <v>170</v>
      </c>
      <c r="B79" s="17" t="s">
        <v>171</v>
      </c>
      <c r="C79" s="15" t="s">
        <v>124</v>
      </c>
      <c r="D79" s="7">
        <f t="shared" si="9"/>
        <v>2721.12</v>
      </c>
      <c r="E79" s="18">
        <v>2.5000000000000001E-2</v>
      </c>
      <c r="F79" s="7">
        <f t="shared" si="7"/>
        <v>2.6624999999999999E-2</v>
      </c>
      <c r="G79" s="7">
        <v>2.7743250000000001E-2</v>
      </c>
      <c r="H79" s="7">
        <f t="shared" si="4"/>
        <v>2.8963953000000001E-2</v>
      </c>
      <c r="I79" s="7">
        <f t="shared" si="5"/>
        <v>3.0006655308000001E-2</v>
      </c>
      <c r="J79" s="7">
        <f t="shared" si="6"/>
        <v>3.1476981418092E-2</v>
      </c>
      <c r="K79" s="7">
        <f t="shared" si="10"/>
        <v>3.4350829821563796E-2</v>
      </c>
      <c r="L79" s="28">
        <f t="shared" si="8"/>
        <v>3.8744300955741801E-2</v>
      </c>
      <c r="M79" s="28">
        <f t="shared" si="11"/>
        <v>0.04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25" t="s">
        <v>172</v>
      </c>
      <c r="B80" s="22" t="s">
        <v>173</v>
      </c>
      <c r="C80" s="25"/>
      <c r="D80" s="7"/>
      <c r="E80" s="25"/>
      <c r="F80" s="7"/>
      <c r="G80" s="7"/>
      <c r="H80" s="7"/>
      <c r="I80" s="7"/>
      <c r="J80" s="7"/>
      <c r="K80" s="7"/>
      <c r="L80" s="28"/>
      <c r="M80" s="28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>
      <c r="A81" s="15" t="s">
        <v>174</v>
      </c>
      <c r="B81" s="11" t="s">
        <v>175</v>
      </c>
      <c r="C81" s="15" t="s">
        <v>124</v>
      </c>
      <c r="D81" s="7">
        <f>M81*12*C$2</f>
        <v>17007</v>
      </c>
      <c r="E81" s="18">
        <v>0.15</v>
      </c>
      <c r="F81" s="7">
        <f t="shared" si="7"/>
        <v>0.15974999999999998</v>
      </c>
      <c r="G81" s="7">
        <v>0.16645949999999998</v>
      </c>
      <c r="H81" s="7">
        <f t="shared" si="4"/>
        <v>0.17378371799999998</v>
      </c>
      <c r="I81" s="7">
        <f t="shared" si="5"/>
        <v>0.18003993184799999</v>
      </c>
      <c r="J81" s="7">
        <f t="shared" si="6"/>
        <v>0.18886188850855198</v>
      </c>
      <c r="K81" s="7">
        <f t="shared" si="10"/>
        <v>0.20610497892938276</v>
      </c>
      <c r="L81" s="28">
        <f t="shared" si="8"/>
        <v>0.2324658057344508</v>
      </c>
      <c r="M81" s="28">
        <f>ROUND(L81*1.0701,2)</f>
        <v>0.25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4">
      <c r="A82" s="15" t="s">
        <v>176</v>
      </c>
      <c r="B82" s="11" t="s">
        <v>177</v>
      </c>
      <c r="C82" s="15" t="s">
        <v>178</v>
      </c>
      <c r="D82" s="7">
        <f t="shared" ref="D82:D85" si="12">M82*12*C$2</f>
        <v>7483.08</v>
      </c>
      <c r="E82" s="18">
        <v>6.7000000000000004E-2</v>
      </c>
      <c r="F82" s="7">
        <f t="shared" si="7"/>
        <v>7.1355000000000002E-2</v>
      </c>
      <c r="G82" s="7">
        <v>7.4351910000000007E-2</v>
      </c>
      <c r="H82" s="7">
        <f t="shared" si="4"/>
        <v>7.7623394040000016E-2</v>
      </c>
      <c r="I82" s="7">
        <f t="shared" si="5"/>
        <v>8.041783622544002E-2</v>
      </c>
      <c r="J82" s="7">
        <f t="shared" si="6"/>
        <v>8.4358310200486578E-2</v>
      </c>
      <c r="K82" s="7">
        <f t="shared" si="10"/>
        <v>9.2060223921791001E-2</v>
      </c>
      <c r="L82" s="28">
        <f t="shared" si="8"/>
        <v>0.10383472656138806</v>
      </c>
      <c r="M82" s="28">
        <f t="shared" ref="M82:M84" si="13">ROUND(L82*1.0701,2)</f>
        <v>0.11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6">
      <c r="A83" s="15" t="s">
        <v>179</v>
      </c>
      <c r="B83" s="16" t="s">
        <v>180</v>
      </c>
      <c r="C83" s="15" t="s">
        <v>181</v>
      </c>
      <c r="D83" s="7">
        <f t="shared" si="12"/>
        <v>12925.320000000002</v>
      </c>
      <c r="E83" s="18">
        <v>0.115</v>
      </c>
      <c r="F83" s="7">
        <f t="shared" si="7"/>
        <v>0.122475</v>
      </c>
      <c r="G83" s="7">
        <v>0.12761895000000001</v>
      </c>
      <c r="H83" s="7">
        <f t="shared" si="4"/>
        <v>0.13323418380000002</v>
      </c>
      <c r="I83" s="7">
        <f t="shared" si="5"/>
        <v>0.13803061441680003</v>
      </c>
      <c r="J83" s="7">
        <f t="shared" si="6"/>
        <v>0.14479411452322322</v>
      </c>
      <c r="K83" s="7">
        <f t="shared" si="10"/>
        <v>0.15801381717919349</v>
      </c>
      <c r="L83" s="28">
        <f t="shared" si="8"/>
        <v>0.17822378439641232</v>
      </c>
      <c r="M83" s="28">
        <f t="shared" si="13"/>
        <v>0.19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36">
      <c r="A84" s="15" t="s">
        <v>182</v>
      </c>
      <c r="B84" s="16" t="s">
        <v>183</v>
      </c>
      <c r="C84" s="15" t="s">
        <v>181</v>
      </c>
      <c r="D84" s="7">
        <f t="shared" si="12"/>
        <v>7483.08</v>
      </c>
      <c r="E84" s="18">
        <v>6.8000000000000005E-2</v>
      </c>
      <c r="F84" s="7">
        <f t="shared" si="7"/>
        <v>7.2419999999999998E-2</v>
      </c>
      <c r="G84" s="7">
        <v>7.5461639999999996E-2</v>
      </c>
      <c r="H84" s="7">
        <f t="shared" si="4"/>
        <v>7.8781952160000002E-2</v>
      </c>
      <c r="I84" s="7">
        <f t="shared" si="5"/>
        <v>8.1618102437760007E-2</v>
      </c>
      <c r="J84" s="7">
        <f t="shared" si="6"/>
        <v>8.5617389457210244E-2</v>
      </c>
      <c r="K84" s="7">
        <f t="shared" si="10"/>
        <v>9.3434257114653529E-2</v>
      </c>
      <c r="L84" s="28">
        <f t="shared" si="8"/>
        <v>0.10538449859961771</v>
      </c>
      <c r="M84" s="28">
        <f t="shared" si="13"/>
        <v>0.11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15" t="s">
        <v>184</v>
      </c>
      <c r="B85" s="16" t="s">
        <v>185</v>
      </c>
      <c r="C85" s="15" t="s">
        <v>186</v>
      </c>
      <c r="D85" s="7">
        <f t="shared" si="12"/>
        <v>46939.32</v>
      </c>
      <c r="E85" s="18">
        <v>0.42299999999999999</v>
      </c>
      <c r="F85" s="7">
        <f t="shared" si="7"/>
        <v>0.45049499999999998</v>
      </c>
      <c r="G85" s="7">
        <v>0.46941579</v>
      </c>
      <c r="H85" s="7">
        <f t="shared" si="4"/>
        <v>0.49007008476000002</v>
      </c>
      <c r="I85" s="7">
        <f t="shared" si="5"/>
        <v>0.50771260781136007</v>
      </c>
      <c r="J85" s="7">
        <f t="shared" si="6"/>
        <v>0.53259052559411668</v>
      </c>
      <c r="K85" s="7">
        <f t="shared" si="10"/>
        <v>0.58121604058085952</v>
      </c>
      <c r="L85" s="28">
        <f t="shared" si="8"/>
        <v>0.6555535721711514</v>
      </c>
      <c r="M85" s="28">
        <f>ROUND(L85*1.0701,2)-0.01</f>
        <v>0.69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4">
      <c r="A86" s="25" t="s">
        <v>187</v>
      </c>
      <c r="B86" s="22" t="s">
        <v>188</v>
      </c>
      <c r="C86" s="25"/>
      <c r="D86" s="7"/>
      <c r="E86" s="25"/>
      <c r="F86" s="7"/>
      <c r="G86" s="7"/>
      <c r="H86" s="7"/>
      <c r="I86" s="7">
        <f t="shared" si="5"/>
        <v>0</v>
      </c>
      <c r="J86" s="7"/>
      <c r="K86" s="7"/>
      <c r="L86" s="28"/>
      <c r="M86" s="28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5" t="s">
        <v>189</v>
      </c>
      <c r="B87" s="16" t="s">
        <v>190</v>
      </c>
      <c r="C87" s="15" t="s">
        <v>124</v>
      </c>
      <c r="D87" s="7">
        <f>M87*12*C$2</f>
        <v>23809.799999999996</v>
      </c>
      <c r="E87" s="18">
        <v>0.21099999999999999</v>
      </c>
      <c r="F87" s="7">
        <f t="shared" ref="F87:F96" si="14">E87*1.065</f>
        <v>0.22471499999999997</v>
      </c>
      <c r="G87" s="7">
        <v>0.23415302999999998</v>
      </c>
      <c r="H87" s="7">
        <f>G87*1.044</f>
        <v>0.24445576331999999</v>
      </c>
      <c r="I87" s="7">
        <f t="shared" si="5"/>
        <v>0.25325617079952001</v>
      </c>
      <c r="J87" s="7">
        <f t="shared" si="6"/>
        <v>0.26566572316869647</v>
      </c>
      <c r="K87" s="7">
        <f>J87*1.0913</f>
        <v>0.28992100369399842</v>
      </c>
      <c r="L87" s="28">
        <f t="shared" si="8"/>
        <v>0.32700190006646079</v>
      </c>
      <c r="M87" s="28">
        <f>ROUND(L87*1.0701,2)</f>
        <v>0.35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5" t="s">
        <v>191</v>
      </c>
      <c r="B88" s="11" t="s">
        <v>192</v>
      </c>
      <c r="C88" s="15" t="s">
        <v>124</v>
      </c>
      <c r="D88" s="7">
        <f t="shared" ref="D88:D96" si="15">M88*12*C$2</f>
        <v>17687.28</v>
      </c>
      <c r="E88" s="18">
        <v>0.154</v>
      </c>
      <c r="F88" s="7">
        <f t="shared" si="14"/>
        <v>0.16400999999999999</v>
      </c>
      <c r="G88" s="7">
        <v>0.17089842</v>
      </c>
      <c r="H88" s="7">
        <f t="shared" si="4"/>
        <v>0.17841795048</v>
      </c>
      <c r="I88" s="7">
        <f t="shared" si="5"/>
        <v>0.18484099669728002</v>
      </c>
      <c r="J88" s="7">
        <f t="shared" si="6"/>
        <v>0.19389820553544673</v>
      </c>
      <c r="K88" s="7">
        <f t="shared" si="10"/>
        <v>0.21160111170083301</v>
      </c>
      <c r="L88" s="28">
        <f t="shared" si="8"/>
        <v>0.23866489388736953</v>
      </c>
      <c r="M88" s="28">
        <f t="shared" ref="M88:M96" si="16">ROUND(L88*1.0701,2)</f>
        <v>0.26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5" t="s">
        <v>193</v>
      </c>
      <c r="B89" s="16" t="s">
        <v>194</v>
      </c>
      <c r="C89" s="15" t="s">
        <v>124</v>
      </c>
      <c r="D89" s="7">
        <f t="shared" si="15"/>
        <v>3401.4000000000005</v>
      </c>
      <c r="E89" s="18">
        <v>0.03</v>
      </c>
      <c r="F89" s="7">
        <f t="shared" si="14"/>
        <v>3.1949999999999999E-2</v>
      </c>
      <c r="G89" s="7">
        <v>3.3291899999999999E-2</v>
      </c>
      <c r="H89" s="7">
        <f t="shared" si="4"/>
        <v>3.4756743600000001E-2</v>
      </c>
      <c r="I89" s="7">
        <f t="shared" si="5"/>
        <v>3.6007986369600002E-2</v>
      </c>
      <c r="J89" s="7">
        <f t="shared" si="6"/>
        <v>3.7772377701710401E-2</v>
      </c>
      <c r="K89" s="7">
        <f t="shared" si="10"/>
        <v>4.1220995785876562E-2</v>
      </c>
      <c r="L89" s="28">
        <f t="shared" si="8"/>
        <v>4.6493161146890172E-2</v>
      </c>
      <c r="M89" s="28">
        <f t="shared" si="16"/>
        <v>0.05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5" t="s">
        <v>195</v>
      </c>
      <c r="B90" s="6" t="s">
        <v>196</v>
      </c>
      <c r="C90" s="15" t="s">
        <v>124</v>
      </c>
      <c r="D90" s="7">
        <f t="shared" si="15"/>
        <v>4761.96</v>
      </c>
      <c r="E90" s="18">
        <v>0.04</v>
      </c>
      <c r="F90" s="7">
        <f t="shared" si="14"/>
        <v>4.2599999999999999E-2</v>
      </c>
      <c r="G90" s="7">
        <v>4.4389200000000004E-2</v>
      </c>
      <c r="H90" s="7">
        <f t="shared" si="4"/>
        <v>4.6342324800000008E-2</v>
      </c>
      <c r="I90" s="7">
        <f t="shared" si="5"/>
        <v>4.8010648492800012E-2</v>
      </c>
      <c r="J90" s="7">
        <f t="shared" si="6"/>
        <v>5.036317026894721E-2</v>
      </c>
      <c r="K90" s="7">
        <f t="shared" si="10"/>
        <v>5.4961327714502087E-2</v>
      </c>
      <c r="L90" s="28">
        <f t="shared" si="8"/>
        <v>6.19908815291869E-2</v>
      </c>
      <c r="M90" s="28">
        <f t="shared" si="16"/>
        <v>7.0000000000000007E-2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>
      <c r="A91" s="15" t="s">
        <v>197</v>
      </c>
      <c r="B91" s="6" t="s">
        <v>198</v>
      </c>
      <c r="C91" s="15" t="s">
        <v>95</v>
      </c>
      <c r="D91" s="7">
        <f t="shared" si="15"/>
        <v>32653.439999999999</v>
      </c>
      <c r="E91" s="18">
        <v>0.28999999999999998</v>
      </c>
      <c r="F91" s="7">
        <f t="shared" si="14"/>
        <v>0.30884999999999996</v>
      </c>
      <c r="G91" s="7">
        <v>0.32182169999999999</v>
      </c>
      <c r="H91" s="7">
        <f t="shared" si="4"/>
        <v>0.33598185479999998</v>
      </c>
      <c r="I91" s="7">
        <f t="shared" si="5"/>
        <v>0.34807720157279998</v>
      </c>
      <c r="J91" s="7">
        <f t="shared" si="6"/>
        <v>0.36513298444986714</v>
      </c>
      <c r="K91" s="7">
        <f t="shared" si="10"/>
        <v>0.39846962593013996</v>
      </c>
      <c r="L91" s="28">
        <f t="shared" si="8"/>
        <v>0.44943389108660481</v>
      </c>
      <c r="M91" s="28">
        <f t="shared" si="16"/>
        <v>0.48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24">
      <c r="A92" s="15" t="s">
        <v>199</v>
      </c>
      <c r="B92" s="6" t="s">
        <v>200</v>
      </c>
      <c r="C92" s="15" t="s">
        <v>124</v>
      </c>
      <c r="D92" s="7">
        <f t="shared" si="15"/>
        <v>2040.84</v>
      </c>
      <c r="E92" s="18">
        <v>0.02</v>
      </c>
      <c r="F92" s="7">
        <f t="shared" si="14"/>
        <v>2.1299999999999999E-2</v>
      </c>
      <c r="G92" s="7">
        <v>2.2194600000000002E-2</v>
      </c>
      <c r="H92" s="7">
        <f t="shared" si="4"/>
        <v>2.3171162400000004E-2</v>
      </c>
      <c r="I92" s="7">
        <f t="shared" si="5"/>
        <v>2.4005324246400006E-2</v>
      </c>
      <c r="J92" s="7">
        <f t="shared" si="6"/>
        <v>2.5181585134473605E-2</v>
      </c>
      <c r="K92" s="7">
        <f t="shared" si="10"/>
        <v>2.7480663857251043E-2</v>
      </c>
      <c r="L92" s="28">
        <f t="shared" si="8"/>
        <v>3.099544076459345E-2</v>
      </c>
      <c r="M92" s="28">
        <f t="shared" si="16"/>
        <v>0.03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5" t="s">
        <v>201</v>
      </c>
      <c r="B93" s="6" t="s">
        <v>202</v>
      </c>
      <c r="C93" s="15" t="s">
        <v>203</v>
      </c>
      <c r="D93" s="7">
        <f t="shared" si="15"/>
        <v>4081.68</v>
      </c>
      <c r="E93" s="18">
        <v>3.4000000000000002E-2</v>
      </c>
      <c r="F93" s="7">
        <f t="shared" si="14"/>
        <v>3.6209999999999999E-2</v>
      </c>
      <c r="G93" s="7">
        <v>3.7730819999999998E-2</v>
      </c>
      <c r="H93" s="7">
        <f t="shared" si="4"/>
        <v>3.9390976080000001E-2</v>
      </c>
      <c r="I93" s="7">
        <f t="shared" si="5"/>
        <v>4.0809051218880003E-2</v>
      </c>
      <c r="J93" s="7">
        <f t="shared" si="6"/>
        <v>4.2808694728605122E-2</v>
      </c>
      <c r="K93" s="7">
        <f t="shared" si="10"/>
        <v>4.6717128557326765E-2</v>
      </c>
      <c r="L93" s="28">
        <f t="shared" si="8"/>
        <v>5.2692249299808855E-2</v>
      </c>
      <c r="M93" s="28">
        <f t="shared" si="16"/>
        <v>0.06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5" t="s">
        <v>204</v>
      </c>
      <c r="B94" s="6" t="s">
        <v>205</v>
      </c>
      <c r="C94" s="15" t="s">
        <v>124</v>
      </c>
      <c r="D94" s="7">
        <f t="shared" si="15"/>
        <v>2040.84</v>
      </c>
      <c r="E94" s="18">
        <v>0.02</v>
      </c>
      <c r="F94" s="7">
        <f t="shared" si="14"/>
        <v>2.1299999999999999E-2</v>
      </c>
      <c r="G94" s="7">
        <v>2.2194600000000002E-2</v>
      </c>
      <c r="H94" s="7">
        <f t="shared" si="4"/>
        <v>2.3171162400000004E-2</v>
      </c>
      <c r="I94" s="7">
        <f t="shared" si="5"/>
        <v>2.4005324246400006E-2</v>
      </c>
      <c r="J94" s="7">
        <f t="shared" si="6"/>
        <v>2.5181585134473605E-2</v>
      </c>
      <c r="K94" s="7">
        <f t="shared" si="10"/>
        <v>2.7480663857251043E-2</v>
      </c>
      <c r="L94" s="28">
        <f t="shared" si="8"/>
        <v>3.099544076459345E-2</v>
      </c>
      <c r="M94" s="28">
        <f t="shared" si="16"/>
        <v>0.03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>
      <c r="A95" s="15" t="s">
        <v>206</v>
      </c>
      <c r="B95" s="6" t="s">
        <v>207</v>
      </c>
      <c r="C95" s="15" t="s">
        <v>178</v>
      </c>
      <c r="D95" s="7">
        <f t="shared" si="15"/>
        <v>51701.280000000006</v>
      </c>
      <c r="E95" s="18">
        <v>0.46300000000000002</v>
      </c>
      <c r="F95" s="7">
        <f t="shared" si="14"/>
        <v>0.49309500000000001</v>
      </c>
      <c r="G95" s="7">
        <v>0.51380499000000002</v>
      </c>
      <c r="H95" s="7">
        <f t="shared" si="4"/>
        <v>0.53641240956000003</v>
      </c>
      <c r="I95" s="7">
        <f t="shared" si="5"/>
        <v>0.55572325630416008</v>
      </c>
      <c r="J95" s="7">
        <f t="shared" si="6"/>
        <v>0.58295369586306389</v>
      </c>
      <c r="K95" s="7">
        <f t="shared" si="10"/>
        <v>0.63617736829536153</v>
      </c>
      <c r="L95" s="28">
        <f t="shared" si="8"/>
        <v>0.71754445370033826</v>
      </c>
      <c r="M95" s="28">
        <f>ROUND(L95*1.0701,2)-0.01</f>
        <v>0.76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24">
      <c r="A96" s="15" t="s">
        <v>208</v>
      </c>
      <c r="B96" s="6" t="s">
        <v>209</v>
      </c>
      <c r="C96" s="15" t="s">
        <v>203</v>
      </c>
      <c r="D96" s="7">
        <f t="shared" si="15"/>
        <v>6802.8000000000011</v>
      </c>
      <c r="E96" s="18">
        <v>6.3E-2</v>
      </c>
      <c r="F96" s="7">
        <f t="shared" si="14"/>
        <v>6.7095000000000002E-2</v>
      </c>
      <c r="G96" s="7">
        <v>6.9912990000000008E-2</v>
      </c>
      <c r="H96" s="7">
        <f t="shared" si="4"/>
        <v>7.2989161560000015E-2</v>
      </c>
      <c r="I96" s="7">
        <f t="shared" si="5"/>
        <v>7.5616771376160019E-2</v>
      </c>
      <c r="J96" s="7">
        <f t="shared" si="6"/>
        <v>7.9321993173591857E-2</v>
      </c>
      <c r="K96" s="7">
        <f t="shared" si="10"/>
        <v>8.6564091150340791E-2</v>
      </c>
      <c r="L96" s="28">
        <f t="shared" si="8"/>
        <v>9.7635638408469366E-2</v>
      </c>
      <c r="M96" s="28">
        <f t="shared" si="16"/>
        <v>0.1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19" customFormat="1">
      <c r="A97" s="25" t="s">
        <v>210</v>
      </c>
      <c r="B97" s="23" t="s">
        <v>211</v>
      </c>
      <c r="C97" s="1"/>
      <c r="D97" s="7"/>
      <c r="E97" s="1"/>
      <c r="F97" s="7"/>
      <c r="G97" s="7"/>
      <c r="H97" s="7"/>
      <c r="I97" s="7"/>
      <c r="J97" s="7"/>
      <c r="K97" s="7"/>
      <c r="L97" s="28"/>
      <c r="M97" s="28"/>
    </row>
    <row r="98" spans="1:1024" ht="48">
      <c r="A98" s="15" t="s">
        <v>212</v>
      </c>
      <c r="B98" s="6" t="s">
        <v>213</v>
      </c>
      <c r="C98" s="15" t="s">
        <v>214</v>
      </c>
      <c r="D98" s="7">
        <f>M98*12*C$2</f>
        <v>2721.12</v>
      </c>
      <c r="E98" s="18">
        <v>2.4E-2</v>
      </c>
      <c r="F98" s="7">
        <f>E98*1.065</f>
        <v>2.5559999999999999E-2</v>
      </c>
      <c r="G98" s="7">
        <v>2.6633520000000001E-2</v>
      </c>
      <c r="H98" s="7">
        <f>G98*1.044</f>
        <v>2.7805394880000001E-2</v>
      </c>
      <c r="I98" s="7">
        <f t="shared" si="5"/>
        <v>2.880638909568E-2</v>
      </c>
      <c r="J98" s="7">
        <f t="shared" si="6"/>
        <v>3.0217902161368319E-2</v>
      </c>
      <c r="K98" s="7">
        <f t="shared" si="10"/>
        <v>3.2976796628701247E-2</v>
      </c>
      <c r="L98" s="28">
        <f t="shared" si="8"/>
        <v>3.7194528917512133E-2</v>
      </c>
      <c r="M98" s="28">
        <f>ROUND(L98*1.0701,2)</f>
        <v>0.04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15" t="s">
        <v>215</v>
      </c>
      <c r="B99" s="6" t="s">
        <v>216</v>
      </c>
      <c r="C99" s="15" t="s">
        <v>124</v>
      </c>
      <c r="D99" s="7">
        <f>M99*12*C$2</f>
        <v>680.28</v>
      </c>
      <c r="E99" s="18">
        <v>8.0000000000000002E-3</v>
      </c>
      <c r="F99" s="7">
        <f>E99*1.065</f>
        <v>8.5199999999999998E-3</v>
      </c>
      <c r="G99" s="7">
        <v>8.8778399999999997E-3</v>
      </c>
      <c r="H99" s="7">
        <f t="shared" si="4"/>
        <v>9.2684649600000002E-3</v>
      </c>
      <c r="I99" s="7">
        <f t="shared" si="5"/>
        <v>9.6021296985600007E-3</v>
      </c>
      <c r="J99" s="7">
        <f t="shared" si="6"/>
        <v>1.007263405378944E-2</v>
      </c>
      <c r="K99" s="7">
        <f t="shared" si="10"/>
        <v>1.0992265542900415E-2</v>
      </c>
      <c r="L99" s="28">
        <f t="shared" si="8"/>
        <v>1.2398176305837377E-2</v>
      </c>
      <c r="M99" s="28">
        <f>ROUND(L99*1.0701,2)</f>
        <v>0.01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12.75" customHeight="1">
      <c r="A100" s="33" t="s">
        <v>217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5"/>
      <c r="M100" s="28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5" t="s">
        <v>218</v>
      </c>
      <c r="B101" s="6" t="s">
        <v>219</v>
      </c>
      <c r="C101" s="6" t="s">
        <v>95</v>
      </c>
      <c r="D101" s="7">
        <f>M101*12*C$2</f>
        <v>34694.28</v>
      </c>
      <c r="E101" s="7">
        <v>0.31</v>
      </c>
      <c r="F101" s="7">
        <f t="shared" ref="F101:F105" si="17">E101*1.065</f>
        <v>0.33015</v>
      </c>
      <c r="G101" s="7">
        <v>0.34</v>
      </c>
      <c r="H101" s="7">
        <f t="shared" si="4"/>
        <v>0.35496000000000005</v>
      </c>
      <c r="I101" s="7">
        <f t="shared" si="5"/>
        <v>0.36773856000000005</v>
      </c>
      <c r="J101" s="7">
        <f t="shared" si="6"/>
        <v>0.38575774944000002</v>
      </c>
      <c r="K101" s="7">
        <f t="shared" si="10"/>
        <v>0.420977431963872</v>
      </c>
      <c r="L101" s="28">
        <f t="shared" si="8"/>
        <v>0.47482044551205116</v>
      </c>
      <c r="M101" s="28">
        <f>ROUND(L101*1.0701,2)</f>
        <v>0.51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>
      <c r="A102" s="5" t="s">
        <v>247</v>
      </c>
      <c r="B102" s="6" t="s">
        <v>222</v>
      </c>
      <c r="C102" s="6" t="s">
        <v>95</v>
      </c>
      <c r="D102" s="7">
        <f t="shared" ref="D102:D106" si="18">M102*12*C$2</f>
        <v>4761.96</v>
      </c>
      <c r="E102" s="7">
        <v>0.05</v>
      </c>
      <c r="F102" s="7">
        <f t="shared" si="17"/>
        <v>5.3249999999999999E-2</v>
      </c>
      <c r="G102" s="7">
        <v>0.05</v>
      </c>
      <c r="H102" s="7">
        <f t="shared" si="4"/>
        <v>5.2200000000000003E-2</v>
      </c>
      <c r="I102" s="7">
        <f t="shared" si="5"/>
        <v>5.4079200000000008E-2</v>
      </c>
      <c r="J102" s="7">
        <f t="shared" si="6"/>
        <v>5.6729080800000005E-2</v>
      </c>
      <c r="K102" s="7">
        <f t="shared" si="10"/>
        <v>6.1908445877040003E-2</v>
      </c>
      <c r="L102" s="28">
        <f t="shared" si="8"/>
        <v>6.9826536104713413E-2</v>
      </c>
      <c r="M102" s="28">
        <f t="shared" ref="M102:M106" si="19">ROUND(L102*1.0701,2)</f>
        <v>7.0000000000000007E-2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5" t="s">
        <v>221</v>
      </c>
      <c r="B103" s="6" t="s">
        <v>224</v>
      </c>
      <c r="C103" s="6" t="s">
        <v>47</v>
      </c>
      <c r="D103" s="7">
        <f t="shared" si="18"/>
        <v>1360.56</v>
      </c>
      <c r="E103" s="7">
        <v>0.01</v>
      </c>
      <c r="F103" s="7">
        <f t="shared" si="17"/>
        <v>1.065E-2</v>
      </c>
      <c r="G103" s="7">
        <v>1.1097299999999999E-2</v>
      </c>
      <c r="H103" s="7">
        <f t="shared" si="4"/>
        <v>1.15855812E-2</v>
      </c>
      <c r="I103" s="7">
        <f t="shared" si="5"/>
        <v>1.2002662123200001E-2</v>
      </c>
      <c r="J103" s="7">
        <f t="shared" si="6"/>
        <v>1.2590792567236801E-2</v>
      </c>
      <c r="K103" s="7">
        <f t="shared" si="10"/>
        <v>1.374033192862552E-2</v>
      </c>
      <c r="L103" s="28">
        <f t="shared" si="8"/>
        <v>1.5497720382296723E-2</v>
      </c>
      <c r="M103" s="28">
        <f t="shared" si="19"/>
        <v>0.02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36">
      <c r="A104" s="5" t="s">
        <v>223</v>
      </c>
      <c r="B104" s="6" t="s">
        <v>226</v>
      </c>
      <c r="C104" s="6" t="s">
        <v>47</v>
      </c>
      <c r="D104" s="7">
        <f t="shared" si="18"/>
        <v>10204.199999999999</v>
      </c>
      <c r="E104" s="7">
        <v>0.09</v>
      </c>
      <c r="F104" s="7">
        <f t="shared" si="17"/>
        <v>9.5849999999999991E-2</v>
      </c>
      <c r="G104" s="7">
        <v>9.9875699999999998E-2</v>
      </c>
      <c r="H104" s="7">
        <f t="shared" si="4"/>
        <v>0.1042702308</v>
      </c>
      <c r="I104" s="7">
        <f t="shared" si="5"/>
        <v>0.1080239591088</v>
      </c>
      <c r="J104" s="7">
        <f t="shared" si="6"/>
        <v>0.1133171331051312</v>
      </c>
      <c r="K104" s="7">
        <f t="shared" si="10"/>
        <v>0.12366298735762966</v>
      </c>
      <c r="L104" s="28">
        <f t="shared" si="8"/>
        <v>0.13947948344067049</v>
      </c>
      <c r="M104" s="28">
        <f t="shared" si="19"/>
        <v>0.15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>
      <c r="A105" s="5" t="s">
        <v>225</v>
      </c>
      <c r="B105" s="6" t="s">
        <v>228</v>
      </c>
      <c r="C105" s="6" t="s">
        <v>95</v>
      </c>
      <c r="D105" s="7">
        <f t="shared" si="18"/>
        <v>25170.359999999997</v>
      </c>
      <c r="E105" s="7">
        <v>0.22</v>
      </c>
      <c r="F105" s="7">
        <f t="shared" si="17"/>
        <v>0.23429999999999998</v>
      </c>
      <c r="G105" s="7">
        <v>0.24</v>
      </c>
      <c r="H105" s="7">
        <f t="shared" si="4"/>
        <v>0.25056</v>
      </c>
      <c r="I105" s="7">
        <f t="shared" si="5"/>
        <v>0.25958016</v>
      </c>
      <c r="J105" s="7">
        <f t="shared" si="6"/>
        <v>0.27229958783999997</v>
      </c>
      <c r="K105" s="7">
        <f t="shared" si="10"/>
        <v>0.29716054020979193</v>
      </c>
      <c r="L105" s="28">
        <f t="shared" si="8"/>
        <v>0.33516737330262431</v>
      </c>
      <c r="M105" s="28">
        <f>ROUND(L105*1.0701,2)+0.01</f>
        <v>0.37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>
      <c r="A106" s="5" t="s">
        <v>227</v>
      </c>
      <c r="B106" s="6" t="s">
        <v>229</v>
      </c>
      <c r="C106" s="6" t="s">
        <v>95</v>
      </c>
      <c r="D106" s="7">
        <f t="shared" si="18"/>
        <v>89116.680000000008</v>
      </c>
      <c r="E106" s="7">
        <v>0.80504495745246596</v>
      </c>
      <c r="F106" s="7">
        <f>E106*1.065-0.01</f>
        <v>0.84737287968687625</v>
      </c>
      <c r="G106" s="7">
        <v>0.89</v>
      </c>
      <c r="H106" s="7">
        <f t="shared" si="4"/>
        <v>0.9291600000000001</v>
      </c>
      <c r="I106" s="7">
        <f t="shared" si="5"/>
        <v>0.96260976000000009</v>
      </c>
      <c r="J106" s="7">
        <f t="shared" si="6"/>
        <v>1.0097776382400001</v>
      </c>
      <c r="K106" s="7">
        <f>J106*1.0913</f>
        <v>1.1019703366113121</v>
      </c>
      <c r="L106" s="28">
        <f>K106*1.1279-0.01</f>
        <v>1.2329123426638988</v>
      </c>
      <c r="M106" s="28">
        <f>ROUND(L106*1.0701,2)-0.01</f>
        <v>1.31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s="19" customFormat="1" ht="12">
      <c r="A107" s="32" t="s">
        <v>230</v>
      </c>
      <c r="B107" s="32"/>
      <c r="C107" s="32"/>
      <c r="D107" s="36">
        <f>D101+D102+D103+D104+D105+D106+D73+D43+D41+D23+D4</f>
        <v>1061236.8</v>
      </c>
      <c r="E107" s="20">
        <v>9.43</v>
      </c>
      <c r="F107" s="20">
        <v>10.02</v>
      </c>
      <c r="G107" s="20">
        <f>G106+G105+G104+G103+G102+G101+G73+G43+G41+G23+G4</f>
        <v>10.451881799999999</v>
      </c>
      <c r="H107" s="20">
        <v>10.91</v>
      </c>
      <c r="I107" s="20">
        <v>11.3</v>
      </c>
      <c r="J107" s="20">
        <f>I107*1.049</f>
        <v>11.8537</v>
      </c>
      <c r="K107" s="20">
        <f>K4+K23+K41+K43+K73+K101+K102+K103+K104+K105+K106</f>
        <v>12.931195174570387</v>
      </c>
      <c r="L107" s="20">
        <f>L4+L23+L41+L43+L73+L101+L102+L103+L104+L105+L106</f>
        <v>14.57509503739794</v>
      </c>
      <c r="M107" s="20">
        <f>M101+M102+M103+M104+M105+M106+M73+M43+M41+M23+M4</f>
        <v>15.6</v>
      </c>
      <c r="N107" s="31"/>
    </row>
    <row r="108" spans="1:1024">
      <c r="A108" s="5" t="s">
        <v>231</v>
      </c>
      <c r="B108" s="6" t="s">
        <v>232</v>
      </c>
      <c r="C108" s="6" t="s">
        <v>95</v>
      </c>
      <c r="D108" s="7">
        <f>M108*12*C$2</f>
        <v>387759.60000000003</v>
      </c>
      <c r="E108" s="7">
        <v>3.45</v>
      </c>
      <c r="F108" s="7">
        <f>E108*1.065</f>
        <v>3.6742499999999998</v>
      </c>
      <c r="G108" s="7">
        <v>3.82</v>
      </c>
      <c r="H108" s="7">
        <f>G108*1.044</f>
        <v>3.9880800000000001</v>
      </c>
      <c r="I108" s="7">
        <v>4.13</v>
      </c>
      <c r="J108" s="7">
        <v>4.33</v>
      </c>
      <c r="K108" s="7">
        <f t="shared" si="10"/>
        <v>4.7253289999999994</v>
      </c>
      <c r="L108" s="28">
        <f t="shared" si="8"/>
        <v>5.3296985790999987</v>
      </c>
      <c r="M108" s="28">
        <f>ROUND(L108*1.0701,2)</f>
        <v>5.7</v>
      </c>
    </row>
    <row r="109" spans="1:1024">
      <c r="A109" s="5" t="s">
        <v>233</v>
      </c>
      <c r="B109" s="6" t="s">
        <v>234</v>
      </c>
      <c r="C109" s="6" t="s">
        <v>95</v>
      </c>
      <c r="D109" s="7">
        <f>M109*12*C$2</f>
        <v>61905.48</v>
      </c>
      <c r="E109" s="7">
        <v>0.55302522490739103</v>
      </c>
      <c r="F109" s="7">
        <f>E109*1.065</f>
        <v>0.5889718645263714</v>
      </c>
      <c r="G109" s="7">
        <v>0.61</v>
      </c>
      <c r="H109" s="7">
        <v>0.64</v>
      </c>
      <c r="I109" s="7">
        <v>0.66</v>
      </c>
      <c r="J109" s="7">
        <f t="shared" si="6"/>
        <v>0.69233999999999996</v>
      </c>
      <c r="K109" s="7">
        <v>0.75</v>
      </c>
      <c r="L109" s="28">
        <f t="shared" si="8"/>
        <v>0.84592499999999993</v>
      </c>
      <c r="M109" s="28">
        <f>ROUND(L109*1.0701,2)</f>
        <v>0.91</v>
      </c>
    </row>
    <row r="110" spans="1:1024">
      <c r="A110" s="32" t="s">
        <v>236</v>
      </c>
      <c r="B110" s="32"/>
      <c r="C110" s="32"/>
      <c r="D110" s="36">
        <f>D107+D108+D109</f>
        <v>1510901.8800000001</v>
      </c>
      <c r="E110" s="20">
        <f t="shared" ref="E110:J110" si="20">E107+E108+E109</f>
        <v>13.433025224907389</v>
      </c>
      <c r="F110" s="20">
        <f t="shared" si="20"/>
        <v>14.283221864526372</v>
      </c>
      <c r="G110" s="20">
        <f t="shared" si="20"/>
        <v>14.881881799999999</v>
      </c>
      <c r="H110" s="20">
        <f t="shared" si="20"/>
        <v>15.538080000000001</v>
      </c>
      <c r="I110" s="20">
        <f t="shared" si="20"/>
        <v>16.09</v>
      </c>
      <c r="J110" s="20">
        <f t="shared" si="20"/>
        <v>16.876040000000003</v>
      </c>
      <c r="K110" s="20">
        <f>J110*1.0913</f>
        <v>18.416822452000002</v>
      </c>
      <c r="L110" s="29">
        <f>K110*1.1279</f>
        <v>20.772334043610801</v>
      </c>
      <c r="M110" s="29">
        <f>M107+M108+M109</f>
        <v>22.21</v>
      </c>
    </row>
    <row r="111" spans="1:1024" hidden="1">
      <c r="A111" s="10">
        <v>10</v>
      </c>
      <c r="B111" s="26" t="s">
        <v>237</v>
      </c>
      <c r="C111" s="6"/>
      <c r="D111" s="7">
        <f t="shared" ref="D111" si="21">J111*12*C$2</f>
        <v>0</v>
      </c>
      <c r="E111" s="7">
        <v>0.52</v>
      </c>
      <c r="F111" s="7">
        <v>0.56999999999999995</v>
      </c>
      <c r="G111" s="7"/>
      <c r="H111" s="7"/>
      <c r="I111" s="7">
        <f t="shared" si="5"/>
        <v>0</v>
      </c>
      <c r="J111" s="7">
        <f t="shared" si="6"/>
        <v>0</v>
      </c>
      <c r="K111" s="7">
        <f t="shared" si="10"/>
        <v>0</v>
      </c>
      <c r="L111" s="28">
        <v>0</v>
      </c>
    </row>
    <row r="112" spans="1:1024" hidden="1">
      <c r="A112" s="10" t="s">
        <v>235</v>
      </c>
      <c r="B112" s="26" t="s">
        <v>238</v>
      </c>
      <c r="C112" s="6" t="s">
        <v>95</v>
      </c>
      <c r="D112" s="7">
        <f>J112*12*C$2</f>
        <v>0</v>
      </c>
      <c r="E112" s="7">
        <v>0.03</v>
      </c>
      <c r="F112" s="7">
        <v>0.03</v>
      </c>
      <c r="G112" s="7">
        <v>0.03</v>
      </c>
      <c r="H112" s="7">
        <f>G112*1.044</f>
        <v>3.1320000000000001E-2</v>
      </c>
      <c r="I112" s="7">
        <f t="shared" si="5"/>
        <v>3.2447520000000001E-2</v>
      </c>
      <c r="J112" s="7"/>
      <c r="K112" s="7">
        <f t="shared" si="10"/>
        <v>0</v>
      </c>
      <c r="L112" s="28">
        <v>0</v>
      </c>
    </row>
    <row r="113" spans="1:13">
      <c r="A113" s="10" t="s">
        <v>235</v>
      </c>
      <c r="B113" s="6" t="s">
        <v>220</v>
      </c>
      <c r="C113" s="6" t="s">
        <v>95</v>
      </c>
      <c r="D113" s="7">
        <f>M113*12*C$2</f>
        <v>206124.84</v>
      </c>
      <c r="E113" s="7">
        <v>1.64</v>
      </c>
      <c r="F113" s="7">
        <v>1.67</v>
      </c>
      <c r="G113" s="7">
        <v>1.75</v>
      </c>
      <c r="H113" s="7">
        <v>2.2799999999999998</v>
      </c>
      <c r="I113" s="7">
        <v>2.37</v>
      </c>
      <c r="J113" s="7">
        <v>2.46</v>
      </c>
      <c r="K113" s="7">
        <v>2.56</v>
      </c>
      <c r="L113" s="28">
        <f>K113*1.1279-0.1</f>
        <v>2.7874239999999997</v>
      </c>
      <c r="M113" s="28">
        <v>3.03</v>
      </c>
    </row>
    <row r="114" spans="1:13">
      <c r="A114" s="32" t="s">
        <v>239</v>
      </c>
      <c r="B114" s="32"/>
      <c r="C114" s="32"/>
      <c r="D114" s="36">
        <f>D110+D113</f>
        <v>1717026.7200000002</v>
      </c>
      <c r="E114" s="20">
        <f>E110+E112+E113</f>
        <v>15.103025224907389</v>
      </c>
      <c r="F114" s="20">
        <f>F110+F112+F113</f>
        <v>15.983221864526371</v>
      </c>
      <c r="G114" s="20">
        <f>G110+G112+G113</f>
        <v>16.661881799999996</v>
      </c>
      <c r="H114" s="20">
        <f>H110+H112+H113</f>
        <v>17.849399999999999</v>
      </c>
      <c r="I114" s="20">
        <f>I110+I112+I113</f>
        <v>18.492447520000002</v>
      </c>
      <c r="J114" s="20">
        <f>J110+J113</f>
        <v>19.336040000000004</v>
      </c>
      <c r="K114" s="20">
        <f t="shared" si="10"/>
        <v>21.101420452000003</v>
      </c>
      <c r="L114" s="29">
        <f>L110+L113</f>
        <v>23.559758043610799</v>
      </c>
      <c r="M114" s="29">
        <f>M110+M113</f>
        <v>25.240000000000002</v>
      </c>
    </row>
    <row r="115" spans="1:13">
      <c r="E115" s="21"/>
      <c r="F115" s="21"/>
      <c r="H115" s="3" t="s">
        <v>240</v>
      </c>
      <c r="I115" s="3" t="s">
        <v>240</v>
      </c>
      <c r="J115" s="3" t="s">
        <v>240</v>
      </c>
      <c r="L115" s="21"/>
    </row>
    <row r="116" spans="1:13">
      <c r="H116" s="21"/>
      <c r="I116" s="21"/>
      <c r="J116" s="21"/>
    </row>
  </sheetData>
  <mergeCells count="9">
    <mergeCell ref="A107:C107"/>
    <mergeCell ref="A110:C110"/>
    <mergeCell ref="A114:C114"/>
    <mergeCell ref="A3:L3"/>
    <mergeCell ref="A14:L14"/>
    <mergeCell ref="A22:L22"/>
    <mergeCell ref="A42:L42"/>
    <mergeCell ref="A72:L72"/>
    <mergeCell ref="A100:L100"/>
  </mergeCells>
  <pageMargins left="0.2" right="0.2" top="0.28000000000000003" bottom="0.209722222222222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2021-05-26T07:02:19Z</cp:lastPrinted>
  <dcterms:created xsi:type="dcterms:W3CDTF">2011-09-20T07:13:12Z</dcterms:created>
  <dcterms:modified xsi:type="dcterms:W3CDTF">2024-07-08T08:27:59Z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