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ля работы\перечни Экомир 2023г\"/>
    </mc:Choice>
  </mc:AlternateContent>
  <workbookProtection lockWindows="1"/>
  <bookViews>
    <workbookView xWindow="0" yWindow="0" windowWidth="28800" windowHeight="12435" tabRatio="990"/>
  </bookViews>
  <sheets>
    <sheet name="Перечень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5" i="1" l="1"/>
  <c r="M110" i="1" l="1"/>
  <c r="M111" i="1" l="1"/>
  <c r="M107" i="1"/>
  <c r="M106" i="1"/>
  <c r="D110" i="1"/>
  <c r="D111" i="1" s="1"/>
  <c r="D107" i="1"/>
  <c r="D106" i="1"/>
  <c r="M84" i="1"/>
  <c r="M94" i="1"/>
  <c r="D104" i="1"/>
  <c r="D103" i="1"/>
  <c r="D102" i="1"/>
  <c r="D101" i="1"/>
  <c r="D100" i="1"/>
  <c r="D98" i="1"/>
  <c r="D97" i="1"/>
  <c r="D95" i="1"/>
  <c r="D94" i="1"/>
  <c r="D93" i="1"/>
  <c r="D92" i="1"/>
  <c r="D91" i="1"/>
  <c r="D90" i="1"/>
  <c r="D89" i="1"/>
  <c r="D88" i="1"/>
  <c r="D87" i="1"/>
  <c r="D86" i="1"/>
  <c r="D84" i="1"/>
  <c r="D83" i="1"/>
  <c r="D82" i="1"/>
  <c r="D81" i="1"/>
  <c r="D80" i="1"/>
  <c r="D74" i="1"/>
  <c r="D78" i="1"/>
  <c r="D77" i="1"/>
  <c r="D76" i="1"/>
  <c r="D75" i="1"/>
  <c r="D42" i="1"/>
  <c r="D40" i="1"/>
  <c r="D23" i="1"/>
  <c r="D15" i="1"/>
  <c r="D4" i="1"/>
  <c r="M4" i="1"/>
  <c r="M75" i="1"/>
  <c r="M76" i="1"/>
  <c r="M77" i="1"/>
  <c r="M78" i="1"/>
  <c r="M81" i="1"/>
  <c r="M82" i="1"/>
  <c r="M83" i="1"/>
  <c r="M87" i="1"/>
  <c r="M88" i="1"/>
  <c r="M89" i="1"/>
  <c r="M90" i="1"/>
  <c r="M91" i="1"/>
  <c r="M92" i="1"/>
  <c r="M93" i="1"/>
  <c r="M95" i="1"/>
  <c r="M98" i="1"/>
  <c r="M101" i="1"/>
  <c r="M102" i="1"/>
  <c r="M103" i="1"/>
  <c r="M104" i="1"/>
  <c r="M105" i="1"/>
  <c r="M100" i="1"/>
  <c r="M97" i="1"/>
  <c r="M86" i="1"/>
  <c r="M80" i="1"/>
  <c r="M74" i="1"/>
  <c r="M72" i="1"/>
  <c r="M42" i="1"/>
  <c r="M40" i="1"/>
  <c r="M23" i="1"/>
  <c r="M15" i="1"/>
  <c r="D72" i="1" l="1"/>
  <c r="L110" i="1" l="1"/>
  <c r="K109" i="1" l="1"/>
  <c r="L109" i="1" s="1"/>
  <c r="D109" i="1" l="1"/>
  <c r="J105" i="1"/>
  <c r="K105" i="1" s="1"/>
  <c r="L105" i="1" s="1"/>
  <c r="J106" i="1"/>
  <c r="K106" i="1" l="1"/>
  <c r="L106" i="1" s="1"/>
  <c r="F74" i="1"/>
  <c r="H107" i="1" l="1"/>
  <c r="F109" i="1"/>
  <c r="F107" i="1"/>
  <c r="F111" i="1"/>
  <c r="H102" i="1"/>
  <c r="H74" i="1"/>
  <c r="H72" i="1"/>
  <c r="H15" i="1"/>
  <c r="H4" i="1"/>
  <c r="H105" i="1"/>
  <c r="G111" i="1"/>
  <c r="E111" i="1"/>
  <c r="E23" i="1"/>
  <c r="F23" i="1" s="1"/>
  <c r="G23" i="1" s="1"/>
  <c r="I15" i="1" l="1"/>
  <c r="J15" i="1" s="1"/>
  <c r="I72" i="1"/>
  <c r="J72" i="1" s="1"/>
  <c r="I74" i="1"/>
  <c r="J74" i="1" s="1"/>
  <c r="I102" i="1"/>
  <c r="J102" i="1" s="1"/>
  <c r="I107" i="1"/>
  <c r="J107" i="1" s="1"/>
  <c r="I4" i="1"/>
  <c r="J4" i="1" s="1"/>
  <c r="K102" i="1" l="1"/>
  <c r="L102" i="1" s="1"/>
  <c r="K72" i="1"/>
  <c r="L72" i="1" s="1"/>
  <c r="K4" i="1"/>
  <c r="L4" i="1" s="1"/>
  <c r="K107" i="1"/>
  <c r="J111" i="1"/>
  <c r="K74" i="1"/>
  <c r="L74" i="1" s="1"/>
  <c r="K15" i="1"/>
  <c r="L15" i="1" s="1"/>
  <c r="H23" i="1"/>
  <c r="H40" i="1"/>
  <c r="I40" i="1" s="1"/>
  <c r="J40" i="1" s="1"/>
  <c r="H42" i="1"/>
  <c r="I42" i="1" s="1"/>
  <c r="J42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80" i="1"/>
  <c r="I80" i="1" s="1"/>
  <c r="J80" i="1" s="1"/>
  <c r="H81" i="1"/>
  <c r="I81" i="1" s="1"/>
  <c r="J81" i="1" s="1"/>
  <c r="H82" i="1"/>
  <c r="I82" i="1" s="1"/>
  <c r="J82" i="1" s="1"/>
  <c r="H83" i="1"/>
  <c r="I83" i="1" s="1"/>
  <c r="J83" i="1" s="1"/>
  <c r="H84" i="1"/>
  <c r="I84" i="1" s="1"/>
  <c r="J84" i="1" s="1"/>
  <c r="H86" i="1"/>
  <c r="I86" i="1" s="1"/>
  <c r="J86" i="1" s="1"/>
  <c r="H87" i="1"/>
  <c r="I87" i="1" s="1"/>
  <c r="J87" i="1" s="1"/>
  <c r="H88" i="1"/>
  <c r="I88" i="1" s="1"/>
  <c r="J88" i="1" s="1"/>
  <c r="H89" i="1"/>
  <c r="I89" i="1" s="1"/>
  <c r="J89" i="1" s="1"/>
  <c r="H90" i="1"/>
  <c r="I90" i="1" s="1"/>
  <c r="J90" i="1" s="1"/>
  <c r="H91" i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5" i="1"/>
  <c r="I95" i="1" s="1"/>
  <c r="J95" i="1" s="1"/>
  <c r="H97" i="1"/>
  <c r="I97" i="1" s="1"/>
  <c r="J97" i="1" s="1"/>
  <c r="H98" i="1"/>
  <c r="I98" i="1" s="1"/>
  <c r="J98" i="1" s="1"/>
  <c r="H100" i="1"/>
  <c r="I100" i="1" s="1"/>
  <c r="J100" i="1" s="1"/>
  <c r="H101" i="1"/>
  <c r="I101" i="1" s="1"/>
  <c r="J101" i="1" s="1"/>
  <c r="H103" i="1"/>
  <c r="I103" i="1" s="1"/>
  <c r="J103" i="1" s="1"/>
  <c r="H104" i="1"/>
  <c r="I104" i="1" s="1"/>
  <c r="J104" i="1" s="1"/>
  <c r="H108" i="1"/>
  <c r="I108" i="1" s="1"/>
  <c r="J108" i="1" s="1"/>
  <c r="H109" i="1"/>
  <c r="I109" i="1" s="1"/>
  <c r="I111" i="1" s="1"/>
  <c r="K111" i="1" l="1"/>
  <c r="L107" i="1"/>
  <c r="L111" i="1" s="1"/>
  <c r="K108" i="1"/>
  <c r="L108" i="1" s="1"/>
  <c r="D108" i="1"/>
  <c r="K103" i="1"/>
  <c r="L103" i="1" s="1"/>
  <c r="K100" i="1"/>
  <c r="L100" i="1" s="1"/>
  <c r="K97" i="1"/>
  <c r="L97" i="1" s="1"/>
  <c r="K94" i="1"/>
  <c r="L94" i="1" s="1"/>
  <c r="K92" i="1"/>
  <c r="L92" i="1" s="1"/>
  <c r="K90" i="1"/>
  <c r="L90" i="1" s="1"/>
  <c r="K88" i="1"/>
  <c r="L88" i="1" s="1"/>
  <c r="K86" i="1"/>
  <c r="L86" i="1" s="1"/>
  <c r="K83" i="1"/>
  <c r="L83" i="1" s="1"/>
  <c r="K81" i="1"/>
  <c r="L81" i="1" s="1"/>
  <c r="K78" i="1"/>
  <c r="L78" i="1" s="1"/>
  <c r="K76" i="1"/>
  <c r="L76" i="1" s="1"/>
  <c r="K42" i="1"/>
  <c r="L42" i="1" s="1"/>
  <c r="K104" i="1"/>
  <c r="L104" i="1" s="1"/>
  <c r="K101" i="1"/>
  <c r="L101" i="1" s="1"/>
  <c r="K98" i="1"/>
  <c r="L98" i="1" s="1"/>
  <c r="K95" i="1"/>
  <c r="L95" i="1" s="1"/>
  <c r="K93" i="1"/>
  <c r="L93" i="1" s="1"/>
  <c r="K91" i="1"/>
  <c r="L91" i="1" s="1"/>
  <c r="K89" i="1"/>
  <c r="L89" i="1" s="1"/>
  <c r="K87" i="1"/>
  <c r="L87" i="1" s="1"/>
  <c r="K84" i="1"/>
  <c r="L84" i="1" s="1"/>
  <c r="K82" i="1"/>
  <c r="L82" i="1" s="1"/>
  <c r="K80" i="1"/>
  <c r="L80" i="1" s="1"/>
  <c r="K77" i="1"/>
  <c r="L77" i="1" s="1"/>
  <c r="K75" i="1"/>
  <c r="L75" i="1" s="1"/>
  <c r="K40" i="1"/>
  <c r="L40" i="1" s="1"/>
  <c r="H111" i="1"/>
  <c r="I23" i="1"/>
  <c r="J23" i="1" s="1"/>
  <c r="F105" i="1"/>
  <c r="F104" i="1"/>
  <c r="F103" i="1"/>
  <c r="F102" i="1"/>
  <c r="F101" i="1"/>
  <c r="F100" i="1"/>
  <c r="F98" i="1"/>
  <c r="F97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8" i="1"/>
  <c r="F77" i="1"/>
  <c r="F76" i="1"/>
  <c r="F75" i="1"/>
  <c r="F72" i="1"/>
  <c r="F42" i="1"/>
  <c r="F40" i="1"/>
  <c r="F15" i="1"/>
  <c r="F4" i="1"/>
  <c r="K23" i="1" l="1"/>
  <c r="L23" i="1" s="1"/>
</calcChain>
</file>

<file path=xl/sharedStrings.xml><?xml version="1.0" encoding="utf-8"?>
<sst xmlns="http://schemas.openxmlformats.org/spreadsheetml/2006/main" count="307" uniqueCount="248">
  <si>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</si>
  <si>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</si>
  <si>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</si>
  <si>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</si>
  <si>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</si>
  <si>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</si>
  <si>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</si>
  <si>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</si>
  <si>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</si>
  <si>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</si>
  <si>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4 раза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</si>
  <si>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</si>
  <si>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</si>
  <si>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</si>
  <si>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</si>
  <si>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</si>
  <si>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</si>
  <si>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</si>
  <si>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</si>
  <si>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</si>
  <si>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</si>
  <si>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</si>
  <si>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</si>
  <si>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</si>
  <si>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</si>
  <si>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</si>
  <si>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</si>
  <si>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</si>
  <si>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</si>
  <si>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1.9.</t>
  </si>
  <si>
    <t>Мытье пола кабины лифта</t>
  </si>
  <si>
    <t>5 раз в неделю</t>
  </si>
  <si>
    <t>II. 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</si>
  <si>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</si>
  <si>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</si>
  <si>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</si>
  <si>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</si>
  <si>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</si>
  <si>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</si>
  <si>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</si>
  <si>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</si>
  <si>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</si>
  <si>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</si>
  <si>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</si>
  <si>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</si>
  <si>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</si>
  <si>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</si>
  <si>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</si>
  <si>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</si>
  <si>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</si>
  <si>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</si>
  <si>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</si>
  <si>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</si>
  <si>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</si>
  <si>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</si>
  <si>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</si>
  <si>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</si>
  <si>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</si>
  <si>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</si>
  <si>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</si>
  <si>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</si>
  <si>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</si>
  <si>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</si>
  <si>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</si>
  <si>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</si>
  <si>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</si>
  <si>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</si>
  <si>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</si>
  <si>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</si>
  <si>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</si>
  <si>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</si>
  <si>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</si>
  <si>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</si>
  <si>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</si>
  <si>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</si>
  <si>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</si>
  <si>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</si>
  <si>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</si>
  <si>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</si>
  <si>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 территорий)</t>
  </si>
  <si>
    <t>3.2.3.</t>
  </si>
  <si>
    <t>Подметание территорий в дни с осадками свыше 2 см</t>
  </si>
  <si>
    <t>1 раз в 2-е суток (50% 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</si>
  <si>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</si>
  <si>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</si>
  <si>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</si>
  <si>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</si>
  <si>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</si>
  <si>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</si>
  <si>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</si>
  <si>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</si>
  <si>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</si>
  <si>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</si>
  <si>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</si>
  <si>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</si>
  <si>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</si>
  <si>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 Ремонт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</si>
  <si>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</si>
  <si>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</si>
  <si>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</si>
  <si>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</si>
  <si>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</si>
  <si>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</si>
  <si>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</si>
  <si>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</si>
  <si>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</si>
  <si>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</si>
  <si>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</si>
  <si>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</si>
  <si>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Ремонт кровельного покрытия и устранение течи</t>
  </si>
  <si>
    <t>4.2.2.</t>
  </si>
  <si>
    <t>Укрепление защитной решетки водопроводной воронки</t>
  </si>
  <si>
    <t>4.2.3.</t>
  </si>
  <si>
    <t>Прочистка водопремной воронки внутреннего водостока</t>
  </si>
  <si>
    <t>4.2.4.</t>
  </si>
  <si>
    <t>Восстановление поврежденных участков штукатурки и облицовки</t>
  </si>
  <si>
    <t>4.2.5.</t>
  </si>
  <si>
    <t>Смена или ремонт отмостки</t>
  </si>
  <si>
    <t>4.2.6.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</si>
  <si>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</si>
  <si>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</si>
  <si>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</si>
  <si>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</si>
  <si>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</si>
  <si>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</si>
  <si>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</si>
  <si>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</si>
  <si>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</si>
  <si>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</si>
  <si>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</si>
  <si>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</si>
  <si>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</si>
  <si>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</si>
  <si>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</si>
  <si>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</si>
  <si>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</si>
  <si>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</si>
  <si>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</si>
  <si>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</si>
  <si>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</si>
  <si>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</si>
  <si>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</si>
  <si>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</si>
  <si>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</si>
  <si>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</si>
  <si>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</si>
  <si>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</si>
  <si>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</si>
  <si>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</si>
  <si>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</si>
  <si>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</si>
  <si>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</si>
  <si>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</si>
  <si>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</si>
  <si>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</si>
  <si>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</si>
  <si>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</si>
  <si>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</si>
  <si>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</si>
  <si>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</si>
  <si>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</si>
  <si>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</si>
  <si>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</si>
  <si>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</si>
  <si>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</si>
  <si>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</si>
  <si>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5.1.3.</t>
  </si>
  <si>
    <t>Опрессовка и промывка трубопроводов системы  центрального отопления</t>
  </si>
  <si>
    <t>5.1.4.</t>
  </si>
  <si>
    <t>Ликвидация воздушных пробок в системе центрального отопления (наладка системы - стояки)</t>
  </si>
  <si>
    <t>5.1.5.</t>
  </si>
  <si>
    <t>Испытание трубопроводов системы центрального отопления (Наладка системы отопления)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</si>
  <si>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</si>
  <si>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</si>
  <si>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</si>
  <si>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</si>
  <si>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</si>
  <si>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</si>
  <si>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</si>
  <si>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</si>
  <si>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</si>
  <si>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12 раз в год</t>
  </si>
  <si>
    <t>5.2.4.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</si>
  <si>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</si>
  <si>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</si>
  <si>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</si>
  <si>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</si>
  <si>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</si>
  <si>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</si>
  <si>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</si>
  <si>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</si>
  <si>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</si>
  <si>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</si>
  <si>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</si>
  <si>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</si>
  <si>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5.3.4.</t>
  </si>
  <si>
    <t>Дератизация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</si>
  <si>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</si>
  <si>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</si>
  <si>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</si>
  <si>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</si>
  <si>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</si>
  <si>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</si>
  <si>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1 раз в 3 года</t>
  </si>
  <si>
    <t>5.3.8.</t>
  </si>
  <si>
    <t>Очистка кровли от мусора и грязи</t>
  </si>
  <si>
    <t>5.3.9.</t>
  </si>
  <si>
    <t>Снятие показаний и обслуживание теплосчетчиков</t>
  </si>
  <si>
    <t>5.3.10.</t>
  </si>
  <si>
    <t>Техобслуживание вводных и внутренних газопроводов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</si>
  <si>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</si>
  <si>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</si>
  <si>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</si>
  <si>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</si>
  <si>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</si>
  <si>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</si>
  <si>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</si>
  <si>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 Прочее</t>
  </si>
  <si>
    <t>6.1.</t>
  </si>
  <si>
    <t>Транспортные расходы</t>
  </si>
  <si>
    <t>Электроэнергия на ОДН</t>
  </si>
  <si>
    <t>6.3.</t>
  </si>
  <si>
    <t>Затраты на охрану труда работников РЭС</t>
  </si>
  <si>
    <t>6.4.</t>
  </si>
  <si>
    <t>Утилизация люминесцентных ламп</t>
  </si>
  <si>
    <t>6.5.</t>
  </si>
  <si>
    <t>Непредвиденные работы по текущему ремонту общего имущества жилого дома</t>
  </si>
  <si>
    <t>6.6.</t>
  </si>
  <si>
    <t>Услуги ООО "РРКЦ"</t>
  </si>
  <si>
    <t>Затраты по управлению домом</t>
  </si>
  <si>
    <t>Итого</t>
  </si>
  <si>
    <t>7.</t>
  </si>
  <si>
    <t>Содержание и текущий ремонт лифта</t>
  </si>
  <si>
    <t>Захоронение ТБО (установлен Комиссией по регулированию цен)</t>
  </si>
  <si>
    <t>Холодное водоснабжение на ОДН</t>
  </si>
  <si>
    <t xml:space="preserve">Итого </t>
  </si>
  <si>
    <t>8.</t>
  </si>
  <si>
    <t>6.2.</t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</si>
  <si>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2016г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</si>
  <si>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2017г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</si>
  <si>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2018г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</si>
  <si>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2019г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</si>
  <si>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2020г</t>
    </r>
  </si>
  <si>
    <t>Исп. экономист Логвинова А. В.</t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</si>
  <si>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2021г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</si>
  <si>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2022г</t>
    </r>
  </si>
  <si>
    <t>Стоимость на 1 м2 общей площади (рублей в месяц) 2023 г. (12,79%)</t>
  </si>
  <si>
    <t>Стоимость на 1 м2 общей площади (рублей в месяц) 2024 г. (7,01%)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</si>
</sst>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/>
    <xf numFmtId="2" fontId="1" fillId="0" borderId="0" xfId="0" applyNumberFormat="1" applyFont="1"/>
    <xf numFmtId="2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5"/>
  <sheetViews>
    <sheetView windowProtection="1" tabSelected="1" zoomScaleNormal="100" workbookViewId="0">
      <pane xSplit="2" ySplit="1" topLeftCell="C57" activePane="bottomRight" state="frozen"/>
      <selection pane="topRight" activeCell="C1" sqref="C1"/>
      <selection pane="bottomLeft" activeCell="A92" sqref="A92"/>
      <selection pane="bottomRight" activeCell="D105" sqref="D105"/>
    </sheetView>
  </sheetViews>
  <sheetFormatPr defaultRowHeight="12.75"/>
  <cols>
    <col min="1" max="1" width="5.42578125" style="2" customWidth="1"/>
    <col min="2" max="2" width="37.28515625" style="3" customWidth="1"/>
    <col min="3" max="3" width="15.7109375" style="3" customWidth="1"/>
    <col min="4" max="4" width="19.7109375" style="20" bestFit="1" customWidth="1"/>
    <col min="5" max="9" width="9" style="3" hidden="1" customWidth="1"/>
    <col min="10" max="10" width="13.7109375" style="3" hidden="1" customWidth="1"/>
    <col min="11" max="11" width="13.28515625" style="3" hidden="1" customWidth="1"/>
    <col min="12" max="12" width="11.85546875" style="3" bestFit="1" customWidth="1"/>
    <col min="13" max="13" width="11.5703125" style="3" customWidth="1"/>
    <col min="14" max="14" width="11.28515625" style="3" customWidth="1"/>
    <col min="15" max="249" width="8.7109375" style="3"/>
    <col min="250" max="250" width="4.7109375" style="3"/>
    <col min="251" max="251" width="20.28515625" style="3"/>
    <col min="252" max="252" width="15.42578125" style="3"/>
    <col min="253" max="253" width="9.85546875" style="3"/>
    <col min="254" max="1025" width="8.7109375" style="3"/>
  </cols>
  <sheetData>
    <row r="1" spans="1:1024" s="4" customFormat="1" ht="78" customHeight="1">
      <c r="A1" s="26" t="s">
        <v>0</v>
      </c>
      <c r="B1" s="26" t="s">
        <v>1</v>
      </c>
      <c r="C1" s="26" t="s">
        <v>2</v>
      </c>
      <c r="D1" s="27" t="s">
        <v>3</v>
      </c>
      <c r="E1" s="26" t="s">
        <v>238</v>
      </c>
      <c r="F1" s="26" t="s">
        <v>239</v>
      </c>
      <c r="G1" s="26" t="s">
        <v>240</v>
      </c>
      <c r="H1" s="26" t="s">
        <v>241</v>
      </c>
      <c r="I1" s="26" t="s">
        <v>242</v>
      </c>
      <c r="J1" s="26" t="s">
        <v>244</v>
      </c>
      <c r="K1" s="26" t="s">
        <v>245</v>
      </c>
      <c r="L1" s="26" t="s">
        <v>246</v>
      </c>
      <c r="M1" s="26" t="s">
        <v>247</v>
      </c>
    </row>
    <row r="2" spans="1:1024" ht="13.5">
      <c r="A2" s="5"/>
      <c r="B2" s="6" t="s">
        <v>4</v>
      </c>
      <c r="C2" s="6">
        <v>5709.3</v>
      </c>
      <c r="D2" s="7"/>
      <c r="E2" s="7"/>
      <c r="F2" s="7"/>
      <c r="G2" s="7"/>
      <c r="H2" s="7"/>
      <c r="I2" s="7"/>
      <c r="J2" s="7"/>
      <c r="K2" s="7"/>
      <c r="L2" s="30"/>
      <c r="M2" s="31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75" customHeight="1">
      <c r="A3" s="34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31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>
      <c r="A4" s="5" t="s">
        <v>6</v>
      </c>
      <c r="B4" s="6" t="s">
        <v>7</v>
      </c>
      <c r="C4" s="6"/>
      <c r="D4" s="38">
        <f>M4*12*C$2</f>
        <v>245956.644</v>
      </c>
      <c r="E4" s="7">
        <v>2.09</v>
      </c>
      <c r="F4" s="7">
        <f>2.09*1.065</f>
        <v>2.2258499999999999</v>
      </c>
      <c r="G4" s="7">
        <v>2.3199999999999998</v>
      </c>
      <c r="H4" s="7">
        <f>G4*1.0808</f>
        <v>2.5074559999999999</v>
      </c>
      <c r="I4" s="7">
        <f>H4*1.036</f>
        <v>2.5977244160000001</v>
      </c>
      <c r="J4" s="7">
        <f>I4*1.049</f>
        <v>2.7250129123839999</v>
      </c>
      <c r="K4" s="7">
        <f>J4*1.0913</f>
        <v>2.9738065912846587</v>
      </c>
      <c r="L4" s="31">
        <f>K4*1.1279</f>
        <v>3.3541564543099662</v>
      </c>
      <c r="M4" s="31">
        <f>ROUND(L4*1.0701,2)</f>
        <v>3.59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">
      <c r="A5" s="5" t="s">
        <v>8</v>
      </c>
      <c r="B5" s="6" t="s">
        <v>9</v>
      </c>
      <c r="C5" s="8" t="s">
        <v>10</v>
      </c>
      <c r="D5" s="7"/>
      <c r="E5" s="7"/>
      <c r="F5" s="7"/>
      <c r="G5" s="7"/>
      <c r="H5" s="7"/>
      <c r="I5" s="7"/>
      <c r="J5" s="7"/>
      <c r="K5" s="7"/>
      <c r="L5" s="31"/>
      <c r="M5" s="31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4">
      <c r="A6" s="5" t="s">
        <v>11</v>
      </c>
      <c r="B6" s="6" t="s">
        <v>12</v>
      </c>
      <c r="C6" s="8" t="s">
        <v>13</v>
      </c>
      <c r="D6" s="7"/>
      <c r="E6" s="7"/>
      <c r="F6" s="7"/>
      <c r="G6" s="7"/>
      <c r="H6" s="7"/>
      <c r="I6" s="7"/>
      <c r="J6" s="7"/>
      <c r="K6" s="7"/>
      <c r="L6" s="31"/>
      <c r="M6" s="31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48">
      <c r="A7" s="9" t="s">
        <v>14</v>
      </c>
      <c r="B7" s="6" t="s">
        <v>15</v>
      </c>
      <c r="C7" s="8" t="s">
        <v>16</v>
      </c>
      <c r="D7" s="7"/>
      <c r="E7" s="7"/>
      <c r="F7" s="7"/>
      <c r="G7" s="7"/>
      <c r="H7" s="7"/>
      <c r="I7" s="7"/>
      <c r="J7" s="7"/>
      <c r="K7" s="7"/>
      <c r="L7" s="31"/>
      <c r="M7" s="31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5" t="s">
        <v>17</v>
      </c>
      <c r="B8" s="6" t="s">
        <v>18</v>
      </c>
      <c r="C8" s="8" t="s">
        <v>16</v>
      </c>
      <c r="D8" s="7"/>
      <c r="E8" s="7"/>
      <c r="F8" s="7"/>
      <c r="G8" s="7"/>
      <c r="H8" s="7"/>
      <c r="I8" s="7"/>
      <c r="J8" s="7"/>
      <c r="K8" s="7"/>
      <c r="L8" s="31"/>
      <c r="M8" s="31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5" t="s">
        <v>19</v>
      </c>
      <c r="B9" s="6" t="s">
        <v>20</v>
      </c>
      <c r="C9" s="8" t="s">
        <v>21</v>
      </c>
      <c r="D9" s="7"/>
      <c r="E9" s="7"/>
      <c r="F9" s="7"/>
      <c r="G9" s="7"/>
      <c r="H9" s="7"/>
      <c r="I9" s="7"/>
      <c r="J9" s="7"/>
      <c r="K9" s="7"/>
      <c r="L9" s="31"/>
      <c r="M9" s="31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5" t="s">
        <v>22</v>
      </c>
      <c r="B10" s="6" t="s">
        <v>23</v>
      </c>
      <c r="C10" s="8" t="s">
        <v>16</v>
      </c>
      <c r="D10" s="7"/>
      <c r="E10" s="7"/>
      <c r="F10" s="7"/>
      <c r="G10" s="7"/>
      <c r="H10" s="7"/>
      <c r="I10" s="7"/>
      <c r="J10" s="7"/>
      <c r="K10" s="7"/>
      <c r="L10" s="31"/>
      <c r="M10" s="31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5" t="s">
        <v>24</v>
      </c>
      <c r="B11" s="6" t="s">
        <v>25</v>
      </c>
      <c r="C11" s="8" t="s">
        <v>26</v>
      </c>
      <c r="D11" s="7"/>
      <c r="E11" s="7"/>
      <c r="F11" s="7"/>
      <c r="G11" s="7"/>
      <c r="H11" s="7"/>
      <c r="I11" s="7"/>
      <c r="J11" s="7"/>
      <c r="K11" s="7"/>
      <c r="L11" s="31"/>
      <c r="M11" s="3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36">
      <c r="A12" s="10" t="s">
        <v>27</v>
      </c>
      <c r="B12" s="11" t="s">
        <v>28</v>
      </c>
      <c r="C12" s="10" t="s">
        <v>13</v>
      </c>
      <c r="D12" s="7"/>
      <c r="E12" s="12"/>
      <c r="F12" s="12"/>
      <c r="G12" s="7"/>
      <c r="H12" s="7"/>
      <c r="I12" s="7"/>
      <c r="J12" s="7"/>
      <c r="K12" s="7"/>
      <c r="L12" s="31"/>
      <c r="M12" s="31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10" t="s">
        <v>29</v>
      </c>
      <c r="B13" s="11" t="s">
        <v>30</v>
      </c>
      <c r="C13" s="10" t="s">
        <v>31</v>
      </c>
      <c r="D13" s="7"/>
      <c r="E13" s="12"/>
      <c r="F13" s="12"/>
      <c r="G13" s="7"/>
      <c r="H13" s="7"/>
      <c r="I13" s="7"/>
      <c r="J13" s="7"/>
      <c r="K13" s="7"/>
      <c r="L13" s="31"/>
      <c r="M13" s="3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.75" customHeight="1">
      <c r="A14" s="34" t="s">
        <v>32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10" t="s">
        <v>33</v>
      </c>
      <c r="B15" s="11" t="s">
        <v>34</v>
      </c>
      <c r="C15" s="10"/>
      <c r="D15" s="38">
        <f>M15*12*C$2</f>
        <v>110303.67600000001</v>
      </c>
      <c r="E15" s="10">
        <v>0.94</v>
      </c>
      <c r="F15" s="13">
        <f>0.94*1.065</f>
        <v>1.0010999999999999</v>
      </c>
      <c r="G15" s="7">
        <v>1.04</v>
      </c>
      <c r="H15" s="7">
        <f>G15*1.0808</f>
        <v>1.1240319999999999</v>
      </c>
      <c r="I15" s="7">
        <f t="shared" ref="I15:I42" si="0">H15*1.036</f>
        <v>1.164497152</v>
      </c>
      <c r="J15" s="7">
        <f t="shared" ref="J15:J42" si="1">I15*1.049</f>
        <v>1.221557512448</v>
      </c>
      <c r="K15" s="7">
        <f>J15*1.0913</f>
        <v>1.3330857133345024</v>
      </c>
      <c r="L15" s="31">
        <f t="shared" ref="L15:L42" si="2">K15*1.1279</f>
        <v>1.5035873760699852</v>
      </c>
      <c r="M15" s="31">
        <f>ROUND(L15*1.0701,2)</f>
        <v>1.61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4">
      <c r="A16" s="10" t="s">
        <v>35</v>
      </c>
      <c r="B16" s="11" t="s">
        <v>36</v>
      </c>
      <c r="C16" s="10" t="s">
        <v>31</v>
      </c>
      <c r="D16" s="7"/>
      <c r="E16" s="12"/>
      <c r="F16" s="12"/>
      <c r="G16" s="7"/>
      <c r="H16" s="7"/>
      <c r="I16" s="7"/>
      <c r="J16" s="7"/>
      <c r="K16" s="7"/>
      <c r="L16" s="31"/>
      <c r="M16" s="3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10" t="s">
        <v>37</v>
      </c>
      <c r="B17" s="11" t="s">
        <v>38</v>
      </c>
      <c r="C17" s="10" t="s">
        <v>31</v>
      </c>
      <c r="D17" s="7"/>
      <c r="E17" s="12"/>
      <c r="F17" s="12"/>
      <c r="G17" s="7"/>
      <c r="H17" s="7"/>
      <c r="I17" s="7"/>
      <c r="J17" s="7"/>
      <c r="K17" s="7"/>
      <c r="L17" s="31"/>
      <c r="M17" s="3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4">
      <c r="A18" s="10" t="s">
        <v>39</v>
      </c>
      <c r="B18" s="11" t="s">
        <v>40</v>
      </c>
      <c r="C18" s="10" t="s">
        <v>31</v>
      </c>
      <c r="D18" s="7"/>
      <c r="E18" s="12"/>
      <c r="F18" s="12"/>
      <c r="G18" s="7"/>
      <c r="H18" s="7"/>
      <c r="I18" s="7"/>
      <c r="J18" s="7"/>
      <c r="K18" s="7"/>
      <c r="L18" s="31"/>
      <c r="M18" s="3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24">
      <c r="A19" s="10" t="s">
        <v>41</v>
      </c>
      <c r="B19" s="11" t="s">
        <v>42</v>
      </c>
      <c r="C19" s="10" t="s">
        <v>26</v>
      </c>
      <c r="D19" s="7"/>
      <c r="E19" s="12"/>
      <c r="F19" s="12"/>
      <c r="G19" s="7"/>
      <c r="H19" s="7"/>
      <c r="I19" s="7"/>
      <c r="J19" s="7"/>
      <c r="K19" s="7"/>
      <c r="L19" s="31"/>
      <c r="M19" s="31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10" t="s">
        <v>43</v>
      </c>
      <c r="B20" s="11" t="s">
        <v>44</v>
      </c>
      <c r="C20" s="10" t="s">
        <v>45</v>
      </c>
      <c r="D20" s="7"/>
      <c r="E20" s="12"/>
      <c r="F20" s="12"/>
      <c r="G20" s="7"/>
      <c r="H20" s="7"/>
      <c r="I20" s="7"/>
      <c r="J20" s="7"/>
      <c r="K20" s="7"/>
      <c r="L20" s="31"/>
      <c r="M20" s="3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4">
      <c r="A21" s="10" t="s">
        <v>46</v>
      </c>
      <c r="B21" s="11" t="s">
        <v>47</v>
      </c>
      <c r="C21" s="8" t="s">
        <v>48</v>
      </c>
      <c r="D21" s="7"/>
      <c r="E21" s="12"/>
      <c r="F21" s="12"/>
      <c r="G21" s="7"/>
      <c r="H21" s="7"/>
      <c r="I21" s="7"/>
      <c r="J21" s="7"/>
      <c r="K21" s="7"/>
      <c r="L21" s="31"/>
      <c r="M21" s="3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.75" customHeight="1">
      <c r="A22" s="34" t="s">
        <v>49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1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5" t="s">
        <v>50</v>
      </c>
      <c r="B23" s="6" t="s">
        <v>51</v>
      </c>
      <c r="C23" s="6"/>
      <c r="D23" s="38">
        <f>M23*12*C$2</f>
        <v>132912.50400000002</v>
      </c>
      <c r="E23" s="7">
        <f>0.87+0.26</f>
        <v>1.1299999999999999</v>
      </c>
      <c r="F23" s="7">
        <f>E23*1.065</f>
        <v>1.2034499999999999</v>
      </c>
      <c r="G23" s="7">
        <f>F23*1.042</f>
        <v>1.2539948999999999</v>
      </c>
      <c r="H23" s="7">
        <f t="shared" ref="H23:H42" si="3">G23*1.0808</f>
        <v>1.35531768792</v>
      </c>
      <c r="I23" s="7">
        <f>H23*1.036</f>
        <v>1.4041091246851201</v>
      </c>
      <c r="J23" s="7">
        <f t="shared" si="1"/>
        <v>1.4729104717946908</v>
      </c>
      <c r="K23" s="7">
        <f>J23*1.0913</f>
        <v>1.607387197869546</v>
      </c>
      <c r="L23" s="31">
        <f t="shared" si="2"/>
        <v>1.8129720204770607</v>
      </c>
      <c r="M23" s="31">
        <f>ROUND(L23*1.0701,2)</f>
        <v>1.94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5" t="s">
        <v>52</v>
      </c>
      <c r="B24" s="6" t="s">
        <v>53</v>
      </c>
      <c r="C24" s="8"/>
      <c r="D24" s="7"/>
      <c r="E24" s="7"/>
      <c r="F24" s="7"/>
      <c r="G24" s="7"/>
      <c r="H24" s="7"/>
      <c r="I24" s="7"/>
      <c r="J24" s="7"/>
      <c r="K24" s="7"/>
      <c r="L24" s="31"/>
      <c r="M24" s="31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4">
      <c r="A25" s="14" t="s">
        <v>54</v>
      </c>
      <c r="B25" s="6" t="s">
        <v>55</v>
      </c>
      <c r="C25" s="8" t="s">
        <v>56</v>
      </c>
      <c r="D25" s="7"/>
      <c r="E25" s="7"/>
      <c r="F25" s="7"/>
      <c r="G25" s="7"/>
      <c r="H25" s="7"/>
      <c r="I25" s="7"/>
      <c r="J25" s="7"/>
      <c r="K25" s="7"/>
      <c r="L25" s="31"/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4">
      <c r="A26" s="5" t="s">
        <v>57</v>
      </c>
      <c r="B26" s="6" t="s">
        <v>58</v>
      </c>
      <c r="C26" s="8" t="s">
        <v>59</v>
      </c>
      <c r="D26" s="7"/>
      <c r="E26" s="7"/>
      <c r="F26" s="7"/>
      <c r="G26" s="7"/>
      <c r="H26" s="7"/>
      <c r="I26" s="7"/>
      <c r="J26" s="7"/>
      <c r="K26" s="7"/>
      <c r="L26" s="31"/>
      <c r="M26" s="3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4">
      <c r="A27" s="5" t="s">
        <v>60</v>
      </c>
      <c r="B27" s="6" t="s">
        <v>61</v>
      </c>
      <c r="C27" s="8" t="s">
        <v>62</v>
      </c>
      <c r="D27" s="7"/>
      <c r="E27" s="7"/>
      <c r="F27" s="7"/>
      <c r="G27" s="7"/>
      <c r="H27" s="7"/>
      <c r="I27" s="7"/>
      <c r="J27" s="7"/>
      <c r="K27" s="7"/>
      <c r="L27" s="31"/>
      <c r="M27" s="31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48">
      <c r="A28" s="5" t="s">
        <v>63</v>
      </c>
      <c r="B28" s="6" t="s">
        <v>64</v>
      </c>
      <c r="C28" s="8" t="s">
        <v>65</v>
      </c>
      <c r="D28" s="7"/>
      <c r="E28" s="7"/>
      <c r="F28" s="7"/>
      <c r="G28" s="7"/>
      <c r="H28" s="7"/>
      <c r="I28" s="7"/>
      <c r="J28" s="7"/>
      <c r="K28" s="7"/>
      <c r="L28" s="31"/>
      <c r="M28" s="3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4">
      <c r="A29" s="5" t="s">
        <v>66</v>
      </c>
      <c r="B29" s="6" t="s">
        <v>67</v>
      </c>
      <c r="C29" s="8" t="s">
        <v>68</v>
      </c>
      <c r="D29" s="7"/>
      <c r="E29" s="7"/>
      <c r="F29" s="7"/>
      <c r="G29" s="7"/>
      <c r="H29" s="7"/>
      <c r="I29" s="7"/>
      <c r="J29" s="7"/>
      <c r="K29" s="7"/>
      <c r="L29" s="31"/>
      <c r="M29" s="31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>
      <c r="A30" s="5" t="s">
        <v>69</v>
      </c>
      <c r="B30" s="6" t="s">
        <v>70</v>
      </c>
      <c r="C30" s="8" t="s">
        <v>71</v>
      </c>
      <c r="D30" s="7"/>
      <c r="E30" s="7"/>
      <c r="F30" s="7"/>
      <c r="G30" s="7"/>
      <c r="H30" s="7"/>
      <c r="I30" s="7"/>
      <c r="J30" s="7"/>
      <c r="K30" s="7"/>
      <c r="L30" s="31"/>
      <c r="M30" s="31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5" t="s">
        <v>72</v>
      </c>
      <c r="B31" s="6" t="s">
        <v>73</v>
      </c>
      <c r="C31" s="8"/>
      <c r="D31" s="7"/>
      <c r="E31" s="7"/>
      <c r="F31" s="7"/>
      <c r="G31" s="7"/>
      <c r="H31" s="7"/>
      <c r="I31" s="7"/>
      <c r="J31" s="7"/>
      <c r="K31" s="7"/>
      <c r="L31" s="31"/>
      <c r="M31" s="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5" t="s">
        <v>74</v>
      </c>
      <c r="B32" s="6" t="s">
        <v>75</v>
      </c>
      <c r="C32" s="8" t="s">
        <v>76</v>
      </c>
      <c r="D32" s="7"/>
      <c r="E32" s="7"/>
      <c r="F32" s="7"/>
      <c r="G32" s="7"/>
      <c r="H32" s="7"/>
      <c r="I32" s="7"/>
      <c r="J32" s="7"/>
      <c r="K32" s="7"/>
      <c r="L32" s="31"/>
      <c r="M32" s="31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24">
      <c r="A33" s="5" t="s">
        <v>77</v>
      </c>
      <c r="B33" s="6" t="s">
        <v>78</v>
      </c>
      <c r="C33" s="8" t="s">
        <v>79</v>
      </c>
      <c r="D33" s="7"/>
      <c r="E33" s="7"/>
      <c r="F33" s="7"/>
      <c r="G33" s="7"/>
      <c r="H33" s="7"/>
      <c r="I33" s="7"/>
      <c r="J33" s="7"/>
      <c r="K33" s="7"/>
      <c r="L33" s="31"/>
      <c r="M33" s="31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24">
      <c r="A34" s="5" t="s">
        <v>80</v>
      </c>
      <c r="B34" s="6" t="s">
        <v>81</v>
      </c>
      <c r="C34" s="8" t="s">
        <v>82</v>
      </c>
      <c r="D34" s="7"/>
      <c r="E34" s="7"/>
      <c r="F34" s="7"/>
      <c r="G34" s="7"/>
      <c r="H34" s="7"/>
      <c r="I34" s="7"/>
      <c r="J34" s="7"/>
      <c r="K34" s="7"/>
      <c r="L34" s="31"/>
      <c r="M34" s="31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5" t="s">
        <v>83</v>
      </c>
      <c r="B35" s="6" t="s">
        <v>70</v>
      </c>
      <c r="C35" s="8" t="s">
        <v>71</v>
      </c>
      <c r="D35" s="7"/>
      <c r="E35" s="7"/>
      <c r="F35" s="7"/>
      <c r="G35" s="7"/>
      <c r="H35" s="7"/>
      <c r="I35" s="7"/>
      <c r="J35" s="7"/>
      <c r="K35" s="7"/>
      <c r="L35" s="31"/>
      <c r="M35" s="31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5" t="s">
        <v>84</v>
      </c>
      <c r="B36" s="6" t="s">
        <v>85</v>
      </c>
      <c r="C36" s="8" t="s">
        <v>76</v>
      </c>
      <c r="D36" s="7"/>
      <c r="E36" s="7"/>
      <c r="F36" s="7"/>
      <c r="G36" s="7"/>
      <c r="H36" s="7"/>
      <c r="I36" s="7"/>
      <c r="J36" s="7"/>
      <c r="K36" s="7"/>
      <c r="L36" s="31"/>
      <c r="M36" s="31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14" t="s">
        <v>86</v>
      </c>
      <c r="B37" s="6" t="s">
        <v>87</v>
      </c>
      <c r="C37" s="8" t="s">
        <v>76</v>
      </c>
      <c r="D37" s="7"/>
      <c r="E37" s="7"/>
      <c r="F37" s="7"/>
      <c r="G37" s="7"/>
      <c r="H37" s="7"/>
      <c r="I37" s="7"/>
      <c r="J37" s="7"/>
      <c r="K37" s="7"/>
      <c r="L37" s="31"/>
      <c r="M37" s="31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14" t="s">
        <v>88</v>
      </c>
      <c r="B38" s="6" t="s">
        <v>89</v>
      </c>
      <c r="C38" s="8"/>
      <c r="D38" s="7"/>
      <c r="E38" s="7"/>
      <c r="F38" s="7"/>
      <c r="G38" s="7"/>
      <c r="H38" s="7"/>
      <c r="I38" s="7"/>
      <c r="J38" s="7"/>
      <c r="K38" s="7"/>
      <c r="L38" s="31"/>
      <c r="M38" s="31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24">
      <c r="A39" s="5" t="s">
        <v>90</v>
      </c>
      <c r="B39" s="6" t="s">
        <v>91</v>
      </c>
      <c r="C39" s="8" t="s">
        <v>92</v>
      </c>
      <c r="D39" s="7"/>
      <c r="E39" s="7"/>
      <c r="F39" s="7"/>
      <c r="G39" s="7"/>
      <c r="H39" s="7"/>
      <c r="I39" s="7"/>
      <c r="J39" s="7"/>
      <c r="K39" s="7"/>
      <c r="L39" s="31"/>
      <c r="M39" s="31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24">
      <c r="A40" s="5" t="s">
        <v>93</v>
      </c>
      <c r="B40" s="6" t="s">
        <v>94</v>
      </c>
      <c r="C40" s="8" t="s">
        <v>95</v>
      </c>
      <c r="D40" s="38">
        <f>M40*12*C$2</f>
        <v>8221.3919999999998</v>
      </c>
      <c r="E40" s="7">
        <v>7.0000000000000007E-2</v>
      </c>
      <c r="F40" s="7">
        <f>0.07*1.065</f>
        <v>7.4550000000000005E-2</v>
      </c>
      <c r="G40" s="7">
        <v>0.08</v>
      </c>
      <c r="H40" s="7">
        <f t="shared" si="3"/>
        <v>8.6463999999999999E-2</v>
      </c>
      <c r="I40" s="7">
        <f t="shared" si="0"/>
        <v>8.9576704000000007E-2</v>
      </c>
      <c r="J40" s="7">
        <f t="shared" si="1"/>
        <v>9.3965962496000005E-2</v>
      </c>
      <c r="K40" s="7">
        <f>J40*1.0913</f>
        <v>0.1025450548718848</v>
      </c>
      <c r="L40" s="31">
        <f t="shared" si="2"/>
        <v>0.11566056738999886</v>
      </c>
      <c r="M40" s="31">
        <f>ROUND(L40*1.0701,2)</f>
        <v>0.12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2.75" customHeight="1">
      <c r="A41" s="34" t="s">
        <v>96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3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36">
      <c r="A42" s="28" t="s">
        <v>97</v>
      </c>
      <c r="B42" s="23" t="s">
        <v>98</v>
      </c>
      <c r="C42" s="28"/>
      <c r="D42" s="38">
        <f>M42*12*C$2</f>
        <v>127431.576</v>
      </c>
      <c r="E42" s="15">
        <v>1.08</v>
      </c>
      <c r="F42" s="7">
        <f>E42*1.065</f>
        <v>1.1502000000000001</v>
      </c>
      <c r="G42" s="7">
        <v>1.2</v>
      </c>
      <c r="H42" s="7">
        <f t="shared" si="3"/>
        <v>1.2969599999999999</v>
      </c>
      <c r="I42" s="7">
        <f t="shared" si="0"/>
        <v>1.3436505599999999</v>
      </c>
      <c r="J42" s="7">
        <f t="shared" si="1"/>
        <v>1.4094894374399998</v>
      </c>
      <c r="K42" s="7">
        <f>J42*1.0913</f>
        <v>1.5381758230782716</v>
      </c>
      <c r="L42" s="31">
        <f t="shared" si="2"/>
        <v>1.7349085108499824</v>
      </c>
      <c r="M42" s="31">
        <f>ROUND(L42*1.0701,2)</f>
        <v>1.86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2.75" customHeight="1">
      <c r="A43" s="28" t="s">
        <v>99</v>
      </c>
      <c r="B43" s="23" t="s">
        <v>100</v>
      </c>
      <c r="C43" s="28"/>
      <c r="D43" s="7"/>
      <c r="E43" s="28"/>
      <c r="F43" s="7"/>
      <c r="G43" s="7"/>
      <c r="H43" s="7"/>
      <c r="I43" s="7"/>
      <c r="J43" s="7"/>
      <c r="K43" s="7"/>
      <c r="L43" s="31"/>
      <c r="M43" s="31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4">
      <c r="A44" s="16" t="s">
        <v>101</v>
      </c>
      <c r="B44" s="17" t="s">
        <v>102</v>
      </c>
      <c r="C44" s="16" t="s">
        <v>103</v>
      </c>
      <c r="D44" s="7"/>
      <c r="E44" s="6"/>
      <c r="F44" s="7"/>
      <c r="G44" s="7"/>
      <c r="H44" s="7"/>
      <c r="I44" s="7"/>
      <c r="J44" s="7"/>
      <c r="K44" s="7"/>
      <c r="L44" s="31"/>
      <c r="M44" s="31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24">
      <c r="A45" s="16" t="s">
        <v>104</v>
      </c>
      <c r="B45" s="17" t="s">
        <v>105</v>
      </c>
      <c r="C45" s="16" t="s">
        <v>21</v>
      </c>
      <c r="D45" s="7"/>
      <c r="E45" s="6"/>
      <c r="F45" s="7"/>
      <c r="G45" s="7"/>
      <c r="H45" s="7"/>
      <c r="I45" s="7"/>
      <c r="J45" s="7"/>
      <c r="K45" s="7"/>
      <c r="L45" s="31"/>
      <c r="M45" s="31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2.75" customHeight="1">
      <c r="A46" s="28" t="s">
        <v>106</v>
      </c>
      <c r="B46" s="23" t="s">
        <v>107</v>
      </c>
      <c r="C46" s="28"/>
      <c r="D46" s="7"/>
      <c r="E46" s="28"/>
      <c r="F46" s="7"/>
      <c r="G46" s="7"/>
      <c r="H46" s="7"/>
      <c r="I46" s="7"/>
      <c r="J46" s="7"/>
      <c r="K46" s="7"/>
      <c r="L46" s="31"/>
      <c r="M46" s="3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24">
      <c r="A47" s="28" t="s">
        <v>108</v>
      </c>
      <c r="B47" s="17" t="s">
        <v>109</v>
      </c>
      <c r="C47" s="16" t="s">
        <v>48</v>
      </c>
      <c r="D47" s="7"/>
      <c r="E47" s="28"/>
      <c r="F47" s="7"/>
      <c r="G47" s="7"/>
      <c r="H47" s="7"/>
      <c r="I47" s="7"/>
      <c r="J47" s="7"/>
      <c r="K47" s="7"/>
      <c r="L47" s="31"/>
      <c r="M47" s="31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24">
      <c r="A48" s="16" t="s">
        <v>110</v>
      </c>
      <c r="B48" s="17" t="s">
        <v>111</v>
      </c>
      <c r="C48" s="16" t="s">
        <v>16</v>
      </c>
      <c r="D48" s="7"/>
      <c r="E48" s="6"/>
      <c r="F48" s="7"/>
      <c r="G48" s="7"/>
      <c r="H48" s="7"/>
      <c r="I48" s="7"/>
      <c r="J48" s="7"/>
      <c r="K48" s="7"/>
      <c r="L48" s="31"/>
      <c r="M48" s="31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24">
      <c r="A49" s="16" t="s">
        <v>112</v>
      </c>
      <c r="B49" s="17" t="s">
        <v>113</v>
      </c>
      <c r="C49" s="16" t="s">
        <v>48</v>
      </c>
      <c r="D49" s="7"/>
      <c r="E49" s="6"/>
      <c r="F49" s="7"/>
      <c r="G49" s="7"/>
      <c r="H49" s="7"/>
      <c r="I49" s="7"/>
      <c r="J49" s="7"/>
      <c r="K49" s="7"/>
      <c r="L49" s="31"/>
      <c r="M49" s="31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24">
      <c r="A50" s="16" t="s">
        <v>114</v>
      </c>
      <c r="B50" s="17" t="s">
        <v>115</v>
      </c>
      <c r="C50" s="16" t="s">
        <v>48</v>
      </c>
      <c r="D50" s="7"/>
      <c r="E50" s="6"/>
      <c r="F50" s="7"/>
      <c r="G50" s="7"/>
      <c r="H50" s="7"/>
      <c r="I50" s="7"/>
      <c r="J50" s="7"/>
      <c r="K50" s="7"/>
      <c r="L50" s="31"/>
      <c r="M50" s="31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24">
      <c r="A51" s="16" t="s">
        <v>116</v>
      </c>
      <c r="B51" s="17" t="s">
        <v>117</v>
      </c>
      <c r="C51" s="16" t="s">
        <v>48</v>
      </c>
      <c r="D51" s="7"/>
      <c r="E51" s="6"/>
      <c r="F51" s="7"/>
      <c r="G51" s="7"/>
      <c r="H51" s="7"/>
      <c r="I51" s="7"/>
      <c r="J51" s="7"/>
      <c r="K51" s="7"/>
      <c r="L51" s="31"/>
      <c r="M51" s="3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4">
      <c r="A52" s="16" t="s">
        <v>118</v>
      </c>
      <c r="B52" s="17" t="s">
        <v>119</v>
      </c>
      <c r="C52" s="16" t="s">
        <v>48</v>
      </c>
      <c r="D52" s="7"/>
      <c r="E52" s="6"/>
      <c r="F52" s="7"/>
      <c r="G52" s="7"/>
      <c r="H52" s="7"/>
      <c r="I52" s="7"/>
      <c r="J52" s="7"/>
      <c r="K52" s="7"/>
      <c r="L52" s="31"/>
      <c r="M52" s="31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33" customHeight="1">
      <c r="A53" s="28" t="s">
        <v>120</v>
      </c>
      <c r="B53" s="23" t="s">
        <v>121</v>
      </c>
      <c r="C53" s="28"/>
      <c r="D53" s="7"/>
      <c r="E53" s="28"/>
      <c r="F53" s="7"/>
      <c r="G53" s="7"/>
      <c r="H53" s="7"/>
      <c r="I53" s="7"/>
      <c r="J53" s="7"/>
      <c r="K53" s="7"/>
      <c r="L53" s="31"/>
      <c r="M53" s="31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16" t="s">
        <v>122</v>
      </c>
      <c r="B54" s="17" t="s">
        <v>123</v>
      </c>
      <c r="C54" s="16" t="s">
        <v>124</v>
      </c>
      <c r="D54" s="7"/>
      <c r="E54" s="6"/>
      <c r="F54" s="7"/>
      <c r="G54" s="7"/>
      <c r="H54" s="7"/>
      <c r="I54" s="7"/>
      <c r="J54" s="7"/>
      <c r="K54" s="7"/>
      <c r="L54" s="31"/>
      <c r="M54" s="31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24">
      <c r="A55" s="16" t="s">
        <v>125</v>
      </c>
      <c r="B55" s="17" t="s">
        <v>126</v>
      </c>
      <c r="C55" s="16" t="s">
        <v>124</v>
      </c>
      <c r="D55" s="7"/>
      <c r="E55" s="6"/>
      <c r="F55" s="7"/>
      <c r="G55" s="7"/>
      <c r="H55" s="7"/>
      <c r="I55" s="7"/>
      <c r="J55" s="7"/>
      <c r="K55" s="7"/>
      <c r="L55" s="31"/>
      <c r="M55" s="31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24">
      <c r="A56" s="16" t="s">
        <v>127</v>
      </c>
      <c r="B56" s="17" t="s">
        <v>128</v>
      </c>
      <c r="C56" s="16" t="s">
        <v>48</v>
      </c>
      <c r="D56" s="7"/>
      <c r="E56" s="6"/>
      <c r="F56" s="7"/>
      <c r="G56" s="7"/>
      <c r="H56" s="7"/>
      <c r="I56" s="7"/>
      <c r="J56" s="7"/>
      <c r="K56" s="7"/>
      <c r="L56" s="31"/>
      <c r="M56" s="31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36">
      <c r="A57" s="16" t="s">
        <v>129</v>
      </c>
      <c r="B57" s="17" t="s">
        <v>130</v>
      </c>
      <c r="C57" s="16" t="s">
        <v>48</v>
      </c>
      <c r="D57" s="7"/>
      <c r="E57" s="6"/>
      <c r="F57" s="7"/>
      <c r="G57" s="7"/>
      <c r="H57" s="7"/>
      <c r="I57" s="7"/>
      <c r="J57" s="7"/>
      <c r="K57" s="7"/>
      <c r="L57" s="31"/>
      <c r="M57" s="31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36">
      <c r="A58" s="16" t="s">
        <v>131</v>
      </c>
      <c r="B58" s="17" t="s">
        <v>132</v>
      </c>
      <c r="C58" s="16" t="s">
        <v>48</v>
      </c>
      <c r="D58" s="7"/>
      <c r="E58" s="6"/>
      <c r="F58" s="7"/>
      <c r="G58" s="7"/>
      <c r="H58" s="7"/>
      <c r="I58" s="7"/>
      <c r="J58" s="7"/>
      <c r="K58" s="7"/>
      <c r="L58" s="31"/>
      <c r="M58" s="31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24">
      <c r="A59" s="16" t="s">
        <v>133</v>
      </c>
      <c r="B59" s="17" t="s">
        <v>134</v>
      </c>
      <c r="C59" s="16" t="s">
        <v>48</v>
      </c>
      <c r="D59" s="7"/>
      <c r="E59" s="6"/>
      <c r="F59" s="7"/>
      <c r="G59" s="7"/>
      <c r="H59" s="7"/>
      <c r="I59" s="7"/>
      <c r="J59" s="7"/>
      <c r="K59" s="7"/>
      <c r="L59" s="31"/>
      <c r="M59" s="31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16" t="s">
        <v>135</v>
      </c>
      <c r="B60" s="17" t="s">
        <v>136</v>
      </c>
      <c r="C60" s="16" t="s">
        <v>16</v>
      </c>
      <c r="D60" s="7"/>
      <c r="E60" s="6"/>
      <c r="F60" s="7"/>
      <c r="G60" s="7"/>
      <c r="H60" s="7"/>
      <c r="I60" s="7"/>
      <c r="J60" s="7"/>
      <c r="K60" s="7"/>
      <c r="L60" s="31"/>
      <c r="M60" s="31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16" t="s">
        <v>137</v>
      </c>
      <c r="B61" s="17" t="s">
        <v>138</v>
      </c>
      <c r="C61" s="16" t="s">
        <v>124</v>
      </c>
      <c r="D61" s="7"/>
      <c r="E61" s="6"/>
      <c r="F61" s="7"/>
      <c r="G61" s="7"/>
      <c r="H61" s="7"/>
      <c r="I61" s="7"/>
      <c r="J61" s="7"/>
      <c r="K61" s="7"/>
      <c r="L61" s="31"/>
      <c r="M61" s="3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 s="16" t="s">
        <v>139</v>
      </c>
      <c r="B62" s="17" t="s">
        <v>140</v>
      </c>
      <c r="C62" s="16" t="s">
        <v>16</v>
      </c>
      <c r="D62" s="7"/>
      <c r="E62" s="6"/>
      <c r="F62" s="7"/>
      <c r="G62" s="7"/>
      <c r="H62" s="7"/>
      <c r="I62" s="7"/>
      <c r="J62" s="7"/>
      <c r="K62" s="7"/>
      <c r="L62" s="31"/>
      <c r="M62" s="31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2.75" customHeight="1">
      <c r="A63" s="28" t="s">
        <v>141</v>
      </c>
      <c r="B63" s="23" t="s">
        <v>142</v>
      </c>
      <c r="C63" s="28"/>
      <c r="D63" s="7"/>
      <c r="E63" s="28"/>
      <c r="F63" s="7"/>
      <c r="G63" s="7"/>
      <c r="H63" s="7"/>
      <c r="I63" s="7"/>
      <c r="J63" s="7"/>
      <c r="K63" s="7"/>
      <c r="L63" s="31"/>
      <c r="M63" s="31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24">
      <c r="A64" s="16" t="s">
        <v>143</v>
      </c>
      <c r="B64" s="17" t="s">
        <v>144</v>
      </c>
      <c r="C64" s="16" t="s">
        <v>48</v>
      </c>
      <c r="D64" s="7"/>
      <c r="E64" s="16"/>
      <c r="F64" s="7"/>
      <c r="G64" s="7"/>
      <c r="H64" s="7"/>
      <c r="I64" s="7"/>
      <c r="J64" s="7"/>
      <c r="K64" s="7"/>
      <c r="L64" s="31"/>
      <c r="M64" s="31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24">
      <c r="A65" s="16" t="s">
        <v>145</v>
      </c>
      <c r="B65" s="17" t="s">
        <v>146</v>
      </c>
      <c r="C65" s="16" t="s">
        <v>124</v>
      </c>
      <c r="D65" s="7"/>
      <c r="E65" s="16"/>
      <c r="F65" s="7"/>
      <c r="G65" s="7"/>
      <c r="H65" s="7"/>
      <c r="I65" s="7"/>
      <c r="J65" s="7"/>
      <c r="K65" s="7"/>
      <c r="L65" s="31"/>
      <c r="M65" s="31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24">
      <c r="A66" s="16" t="s">
        <v>147</v>
      </c>
      <c r="B66" s="17" t="s">
        <v>148</v>
      </c>
      <c r="C66" s="16" t="s">
        <v>48</v>
      </c>
      <c r="D66" s="7"/>
      <c r="E66" s="16"/>
      <c r="F66" s="7"/>
      <c r="G66" s="7"/>
      <c r="H66" s="7"/>
      <c r="I66" s="7"/>
      <c r="J66" s="7"/>
      <c r="K66" s="7"/>
      <c r="L66" s="31"/>
      <c r="M66" s="31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16" t="s">
        <v>149</v>
      </c>
      <c r="B67" s="17" t="s">
        <v>150</v>
      </c>
      <c r="C67" s="16" t="s">
        <v>124</v>
      </c>
      <c r="D67" s="7"/>
      <c r="E67" s="16"/>
      <c r="F67" s="7"/>
      <c r="G67" s="7"/>
      <c r="H67" s="7"/>
      <c r="I67" s="7"/>
      <c r="J67" s="7"/>
      <c r="K67" s="7"/>
      <c r="L67" s="31"/>
      <c r="M67" s="31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16" t="s">
        <v>151</v>
      </c>
      <c r="B68" s="17" t="s">
        <v>152</v>
      </c>
      <c r="C68" s="16" t="s">
        <v>95</v>
      </c>
      <c r="D68" s="7"/>
      <c r="E68" s="16"/>
      <c r="F68" s="7"/>
      <c r="G68" s="7"/>
      <c r="H68" s="7"/>
      <c r="I68" s="7"/>
      <c r="J68" s="7"/>
      <c r="K68" s="7"/>
      <c r="L68" s="31"/>
      <c r="M68" s="31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24">
      <c r="A69" s="16" t="s">
        <v>153</v>
      </c>
      <c r="B69" s="17" t="s">
        <v>154</v>
      </c>
      <c r="C69" s="16" t="s">
        <v>48</v>
      </c>
      <c r="D69" s="7"/>
      <c r="E69" s="16"/>
      <c r="F69" s="7"/>
      <c r="G69" s="7"/>
      <c r="H69" s="7"/>
      <c r="I69" s="7"/>
      <c r="J69" s="7"/>
      <c r="K69" s="7"/>
      <c r="L69" s="31"/>
      <c r="M69" s="31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36">
      <c r="A70" s="16" t="s">
        <v>155</v>
      </c>
      <c r="B70" s="17" t="s">
        <v>156</v>
      </c>
      <c r="C70" s="16" t="s">
        <v>124</v>
      </c>
      <c r="D70" s="7"/>
      <c r="E70" s="16"/>
      <c r="F70" s="7"/>
      <c r="G70" s="7"/>
      <c r="H70" s="7"/>
      <c r="I70" s="7"/>
      <c r="J70" s="7"/>
      <c r="K70" s="7"/>
      <c r="L70" s="31"/>
      <c r="M70" s="31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2.75" customHeight="1">
      <c r="A71" s="34" t="s">
        <v>157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36">
      <c r="A72" s="28" t="s">
        <v>158</v>
      </c>
      <c r="B72" s="23" t="s">
        <v>159</v>
      </c>
      <c r="C72" s="28"/>
      <c r="D72" s="38">
        <f>D74+D75+D76+D77+D78+D80+D81+D82+D83+D84+D86+D87+D88+D89+D90+D91+D92+D93+D94+D95+D97+D98</f>
        <v>311727.77999999997</v>
      </c>
      <c r="E72" s="15">
        <v>2.65</v>
      </c>
      <c r="F72" s="7">
        <f>E72*1.065</f>
        <v>2.8222499999999999</v>
      </c>
      <c r="G72" s="7">
        <v>2.94</v>
      </c>
      <c r="H72" s="7">
        <f>G72*1.0808</f>
        <v>3.1775519999999999</v>
      </c>
      <c r="I72" s="7">
        <f t="shared" ref="I72:I109" si="4">H72*1.036</f>
        <v>3.291943872</v>
      </c>
      <c r="J72" s="7">
        <f t="shared" ref="J72:J108" si="5">I72*1.049</f>
        <v>3.4532491217279997</v>
      </c>
      <c r="K72" s="7">
        <f>J72*1.0913</f>
        <v>3.7685307665417658</v>
      </c>
      <c r="L72" s="31">
        <f t="shared" ref="L72:L109" si="6">K72*1.1279</f>
        <v>4.2505258515824575</v>
      </c>
      <c r="M72" s="31">
        <f>ROUND(L72*1.0701,2)</f>
        <v>4.55</v>
      </c>
      <c r="N72" s="33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2.75" customHeight="1">
      <c r="A73" s="28" t="s">
        <v>160</v>
      </c>
      <c r="B73" s="23" t="s">
        <v>161</v>
      </c>
      <c r="C73" s="28"/>
      <c r="D73" s="38"/>
      <c r="E73" s="28"/>
      <c r="F73" s="7"/>
      <c r="G73" s="7"/>
      <c r="H73" s="7"/>
      <c r="I73" s="7"/>
      <c r="J73" s="7"/>
      <c r="K73" s="7"/>
      <c r="L73" s="31"/>
      <c r="M73" s="31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24">
      <c r="A74" s="16" t="s">
        <v>162</v>
      </c>
      <c r="B74" s="17" t="s">
        <v>163</v>
      </c>
      <c r="C74" s="16" t="s">
        <v>124</v>
      </c>
      <c r="D74" s="38">
        <f>M74*12*C$2</f>
        <v>31515.336000000003</v>
      </c>
      <c r="E74" s="18">
        <v>0.26</v>
      </c>
      <c r="F74" s="7">
        <f>E74*1.065</f>
        <v>0.27689999999999998</v>
      </c>
      <c r="G74" s="7">
        <v>0.29851737</v>
      </c>
      <c r="H74" s="7">
        <f>G74*1.0808</f>
        <v>0.32263757349599997</v>
      </c>
      <c r="I74" s="7">
        <f t="shared" si="4"/>
        <v>0.33425252614185597</v>
      </c>
      <c r="J74" s="7">
        <f t="shared" si="5"/>
        <v>0.35063089992280688</v>
      </c>
      <c r="K74" s="7">
        <f>J74*1.0913</f>
        <v>0.38264350108575912</v>
      </c>
      <c r="L74" s="31">
        <f t="shared" si="6"/>
        <v>0.43158360487462766</v>
      </c>
      <c r="M74" s="31">
        <f>ROUND(L74*1.0701,2)</f>
        <v>0.46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16" t="s">
        <v>164</v>
      </c>
      <c r="B75" s="17" t="s">
        <v>165</v>
      </c>
      <c r="C75" s="16" t="s">
        <v>124</v>
      </c>
      <c r="D75" s="38">
        <f>M75*12*C$2</f>
        <v>13017.204000000002</v>
      </c>
      <c r="E75" s="18">
        <v>0.108</v>
      </c>
      <c r="F75" s="7">
        <f t="shared" ref="F75:F84" si="7">E75*1.065</f>
        <v>0.11502</v>
      </c>
      <c r="G75" s="7">
        <v>0.11985084</v>
      </c>
      <c r="H75" s="7">
        <f t="shared" ref="H75:H109" si="8">G75*1.0808</f>
        <v>0.12953478787199998</v>
      </c>
      <c r="I75" s="7">
        <f t="shared" si="4"/>
        <v>0.13419804023539197</v>
      </c>
      <c r="J75" s="7">
        <f t="shared" si="5"/>
        <v>0.14077374420692618</v>
      </c>
      <c r="K75" s="7">
        <f t="shared" ref="K75:K105" si="9">J75*1.0913</f>
        <v>0.15362638705301854</v>
      </c>
      <c r="L75" s="31">
        <f t="shared" si="6"/>
        <v>0.17327520195709958</v>
      </c>
      <c r="M75" s="31">
        <f t="shared" ref="M75:M78" si="10">ROUND(L75*1.0701,2)</f>
        <v>0.19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24">
      <c r="A76" s="16" t="s">
        <v>166</v>
      </c>
      <c r="B76" s="17" t="s">
        <v>167</v>
      </c>
      <c r="C76" s="16" t="s">
        <v>124</v>
      </c>
      <c r="D76" s="38">
        <f>M76*12*C$2</f>
        <v>6166.0440000000008</v>
      </c>
      <c r="E76" s="18">
        <v>6.2E-2</v>
      </c>
      <c r="F76" s="7">
        <f t="shared" si="7"/>
        <v>6.6029999999999991E-2</v>
      </c>
      <c r="G76" s="7">
        <v>0.06</v>
      </c>
      <c r="H76" s="7">
        <f t="shared" si="8"/>
        <v>6.4848000000000003E-2</v>
      </c>
      <c r="I76" s="7">
        <f t="shared" si="4"/>
        <v>6.7182528000000005E-2</v>
      </c>
      <c r="J76" s="7">
        <f t="shared" si="5"/>
        <v>7.0474471871999997E-2</v>
      </c>
      <c r="K76" s="7">
        <f t="shared" si="9"/>
        <v>7.6908791153913594E-2</v>
      </c>
      <c r="L76" s="31">
        <f t="shared" si="6"/>
        <v>8.674542554249913E-2</v>
      </c>
      <c r="M76" s="31">
        <f t="shared" si="10"/>
        <v>0.09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36">
      <c r="A77" s="16" t="s">
        <v>168</v>
      </c>
      <c r="B77" s="17" t="s">
        <v>169</v>
      </c>
      <c r="C77" s="16" t="s">
        <v>124</v>
      </c>
      <c r="D77" s="38">
        <f>M77*12*C$2</f>
        <v>1370.232</v>
      </c>
      <c r="E77" s="18">
        <v>1.2E-2</v>
      </c>
      <c r="F77" s="7">
        <f t="shared" si="7"/>
        <v>1.278E-2</v>
      </c>
      <c r="G77" s="7">
        <v>1.331676E-2</v>
      </c>
      <c r="H77" s="7">
        <f t="shared" si="8"/>
        <v>1.4392754208E-2</v>
      </c>
      <c r="I77" s="7">
        <f t="shared" si="4"/>
        <v>1.4910893359488E-2</v>
      </c>
      <c r="J77" s="7">
        <f t="shared" si="5"/>
        <v>1.5641527134102912E-2</v>
      </c>
      <c r="K77" s="7">
        <f>J77*1.0913</f>
        <v>1.7069598561446506E-2</v>
      </c>
      <c r="L77" s="31">
        <f t="shared" si="6"/>
        <v>1.9252800217455512E-2</v>
      </c>
      <c r="M77" s="31">
        <f t="shared" si="10"/>
        <v>0.02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36">
      <c r="A78" s="16" t="s">
        <v>170</v>
      </c>
      <c r="B78" s="17" t="s">
        <v>171</v>
      </c>
      <c r="C78" s="16" t="s">
        <v>124</v>
      </c>
      <c r="D78" s="38">
        <f>M78*12*C$2</f>
        <v>2740.4639999999999</v>
      </c>
      <c r="E78" s="18">
        <v>2.5000000000000001E-2</v>
      </c>
      <c r="F78" s="7">
        <f t="shared" si="7"/>
        <v>2.6624999999999999E-2</v>
      </c>
      <c r="G78" s="7">
        <v>2.7743250000000001E-2</v>
      </c>
      <c r="H78" s="7">
        <f t="shared" si="8"/>
        <v>2.9984904600000001E-2</v>
      </c>
      <c r="I78" s="7">
        <f t="shared" si="4"/>
        <v>3.1064361165600001E-2</v>
      </c>
      <c r="J78" s="7">
        <f t="shared" si="5"/>
        <v>3.2586514862714397E-2</v>
      </c>
      <c r="K78" s="7">
        <f t="shared" si="9"/>
        <v>3.5561663669680221E-2</v>
      </c>
      <c r="L78" s="31">
        <f t="shared" si="6"/>
        <v>4.011000045303232E-2</v>
      </c>
      <c r="M78" s="31">
        <f t="shared" si="10"/>
        <v>0.04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24">
      <c r="A79" s="28" t="s">
        <v>172</v>
      </c>
      <c r="B79" s="23" t="s">
        <v>173</v>
      </c>
      <c r="C79" s="28"/>
      <c r="D79" s="38"/>
      <c r="E79" s="28"/>
      <c r="F79" s="7"/>
      <c r="G79" s="7"/>
      <c r="H79" s="7"/>
      <c r="I79" s="7"/>
      <c r="J79" s="7"/>
      <c r="K79" s="7"/>
      <c r="L79" s="31"/>
      <c r="M79" s="31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24">
      <c r="A80" s="16" t="s">
        <v>174</v>
      </c>
      <c r="B80" s="11" t="s">
        <v>175</v>
      </c>
      <c r="C80" s="16" t="s">
        <v>124</v>
      </c>
      <c r="D80" s="38">
        <f>M80*12*C$2</f>
        <v>17813.016</v>
      </c>
      <c r="E80" s="18">
        <v>0.15</v>
      </c>
      <c r="F80" s="7">
        <f t="shared" si="7"/>
        <v>0.15974999999999998</v>
      </c>
      <c r="G80" s="7">
        <v>0.16645949999999998</v>
      </c>
      <c r="H80" s="7">
        <f t="shared" si="8"/>
        <v>0.17990942759999998</v>
      </c>
      <c r="I80" s="7">
        <f t="shared" si="4"/>
        <v>0.18638616699359997</v>
      </c>
      <c r="J80" s="7">
        <f t="shared" si="5"/>
        <v>0.19551908917628635</v>
      </c>
      <c r="K80" s="7">
        <f t="shared" si="9"/>
        <v>0.21336998201808127</v>
      </c>
      <c r="L80" s="31">
        <f t="shared" si="6"/>
        <v>0.24066000271819385</v>
      </c>
      <c r="M80" s="31">
        <f>ROUND(L80*1.0701,2)</f>
        <v>0.26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36">
      <c r="A81" s="16" t="s">
        <v>176</v>
      </c>
      <c r="B81" s="11" t="s">
        <v>177</v>
      </c>
      <c r="C81" s="16" t="s">
        <v>178</v>
      </c>
      <c r="D81" s="38">
        <f>M81*12*C$2</f>
        <v>8221.3919999999998</v>
      </c>
      <c r="E81" s="18">
        <v>6.7000000000000004E-2</v>
      </c>
      <c r="F81" s="7">
        <f t="shared" si="7"/>
        <v>7.1355000000000002E-2</v>
      </c>
      <c r="G81" s="7">
        <v>7.4351910000000007E-2</v>
      </c>
      <c r="H81" s="7">
        <f t="shared" si="8"/>
        <v>8.0359544328000007E-2</v>
      </c>
      <c r="I81" s="7">
        <f t="shared" si="4"/>
        <v>8.3252487923808016E-2</v>
      </c>
      <c r="J81" s="7">
        <f t="shared" si="5"/>
        <v>8.7331859832074601E-2</v>
      </c>
      <c r="K81" s="7">
        <f t="shared" si="9"/>
        <v>9.5305258634743012E-2</v>
      </c>
      <c r="L81" s="31">
        <f t="shared" si="6"/>
        <v>0.10749480121412663</v>
      </c>
      <c r="M81" s="31">
        <f t="shared" ref="M81:M83" si="11">ROUND(L81*1.0701,2)</f>
        <v>0.12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48">
      <c r="A82" s="16" t="s">
        <v>179</v>
      </c>
      <c r="B82" s="17" t="s">
        <v>180</v>
      </c>
      <c r="C82" s="16" t="s">
        <v>181</v>
      </c>
      <c r="D82" s="38">
        <f>M82*12*C$2</f>
        <v>15072.552000000001</v>
      </c>
      <c r="E82" s="18">
        <v>0.126</v>
      </c>
      <c r="F82" s="7">
        <f t="shared" si="7"/>
        <v>0.13419</v>
      </c>
      <c r="G82" s="7">
        <v>0.13982598000000002</v>
      </c>
      <c r="H82" s="7">
        <f t="shared" si="8"/>
        <v>0.15112391918400001</v>
      </c>
      <c r="I82" s="7">
        <f t="shared" si="4"/>
        <v>0.15656438027462402</v>
      </c>
      <c r="J82" s="7">
        <f t="shared" si="5"/>
        <v>0.16423603490808059</v>
      </c>
      <c r="K82" s="7">
        <f t="shared" si="9"/>
        <v>0.17923078489518834</v>
      </c>
      <c r="L82" s="31">
        <f t="shared" si="6"/>
        <v>0.20215440228328291</v>
      </c>
      <c r="M82" s="31">
        <f t="shared" si="11"/>
        <v>0.22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60">
      <c r="A83" s="16" t="s">
        <v>182</v>
      </c>
      <c r="B83" s="17" t="s">
        <v>183</v>
      </c>
      <c r="C83" s="16" t="s">
        <v>181</v>
      </c>
      <c r="D83" s="38">
        <f>M83*12*C$2</f>
        <v>8221.3919999999998</v>
      </c>
      <c r="E83" s="18">
        <v>6.7000000000000004E-2</v>
      </c>
      <c r="F83" s="7">
        <f t="shared" si="7"/>
        <v>7.1355000000000002E-2</v>
      </c>
      <c r="G83" s="7">
        <v>7.4351910000000007E-2</v>
      </c>
      <c r="H83" s="7">
        <f t="shared" si="8"/>
        <v>8.0359544328000007E-2</v>
      </c>
      <c r="I83" s="7">
        <f t="shared" si="4"/>
        <v>8.3252487923808016E-2</v>
      </c>
      <c r="J83" s="7">
        <f t="shared" si="5"/>
        <v>8.7331859832074601E-2</v>
      </c>
      <c r="K83" s="7">
        <f t="shared" si="9"/>
        <v>9.5305258634743012E-2</v>
      </c>
      <c r="L83" s="31">
        <f t="shared" si="6"/>
        <v>0.10749480121412663</v>
      </c>
      <c r="M83" s="31">
        <f t="shared" si="11"/>
        <v>0.12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48">
      <c r="A84" s="16" t="s">
        <v>184</v>
      </c>
      <c r="B84" s="17" t="s">
        <v>185</v>
      </c>
      <c r="C84" s="16" t="s">
        <v>186</v>
      </c>
      <c r="D84" s="38">
        <f>M84*12*C$2</f>
        <v>49328.352000000006</v>
      </c>
      <c r="E84" s="18">
        <v>0.42299999999999999</v>
      </c>
      <c r="F84" s="7">
        <f t="shared" si="7"/>
        <v>0.45049499999999998</v>
      </c>
      <c r="G84" s="7">
        <v>0.46941579</v>
      </c>
      <c r="H84" s="7">
        <f t="shared" si="8"/>
        <v>0.50734458583200004</v>
      </c>
      <c r="I84" s="7">
        <f t="shared" si="4"/>
        <v>0.52560899092195201</v>
      </c>
      <c r="J84" s="7">
        <f t="shared" si="5"/>
        <v>0.55136383147712764</v>
      </c>
      <c r="K84" s="7">
        <f t="shared" si="9"/>
        <v>0.60170334929098934</v>
      </c>
      <c r="L84" s="31">
        <f t="shared" si="6"/>
        <v>0.6786612076653068</v>
      </c>
      <c r="M84" s="31">
        <f>ROUND(L84*1.0701,2)-0.01</f>
        <v>0.72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24.75" customHeight="1">
      <c r="A85" s="28" t="s">
        <v>187</v>
      </c>
      <c r="B85" s="23" t="s">
        <v>188</v>
      </c>
      <c r="C85" s="28"/>
      <c r="D85" s="7"/>
      <c r="E85" s="28"/>
      <c r="F85" s="7"/>
      <c r="G85" s="7"/>
      <c r="H85" s="7"/>
      <c r="I85" s="7"/>
      <c r="J85" s="7"/>
      <c r="K85" s="7"/>
      <c r="L85" s="31"/>
      <c r="M85" s="31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16" t="s">
        <v>189</v>
      </c>
      <c r="B86" s="17" t="s">
        <v>190</v>
      </c>
      <c r="C86" s="16" t="s">
        <v>124</v>
      </c>
      <c r="D86" s="38">
        <f t="shared" ref="D86:D95" si="12">M86*12*C$2</f>
        <v>23979.059999999998</v>
      </c>
      <c r="E86" s="18">
        <v>0.20200000000000001</v>
      </c>
      <c r="F86" s="7">
        <f t="shared" ref="F86:F95" si="13">E86*1.065</f>
        <v>0.21513000000000002</v>
      </c>
      <c r="G86" s="7">
        <v>0.22416546000000001</v>
      </c>
      <c r="H86" s="7">
        <f t="shared" si="8"/>
        <v>0.24227802916800001</v>
      </c>
      <c r="I86" s="7">
        <f t="shared" si="4"/>
        <v>0.251000038218048</v>
      </c>
      <c r="J86" s="7">
        <f t="shared" si="5"/>
        <v>0.26329904009073235</v>
      </c>
      <c r="K86" s="7">
        <f t="shared" si="9"/>
        <v>0.28733824245101619</v>
      </c>
      <c r="L86" s="31">
        <f t="shared" si="6"/>
        <v>0.32408880366050113</v>
      </c>
      <c r="M86" s="31">
        <f>ROUND(L86*1.0701,2)</f>
        <v>0.35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24">
      <c r="A87" s="16" t="s">
        <v>191</v>
      </c>
      <c r="B87" s="11" t="s">
        <v>192</v>
      </c>
      <c r="C87" s="16" t="s">
        <v>124</v>
      </c>
      <c r="D87" s="38">
        <f t="shared" si="12"/>
        <v>18498.132000000001</v>
      </c>
      <c r="E87" s="18">
        <v>0.155</v>
      </c>
      <c r="F87" s="7">
        <f t="shared" si="13"/>
        <v>0.165075</v>
      </c>
      <c r="G87" s="7">
        <v>0.17200815</v>
      </c>
      <c r="H87" s="7">
        <f t="shared" si="8"/>
        <v>0.18590640851999998</v>
      </c>
      <c r="I87" s="7">
        <f t="shared" si="4"/>
        <v>0.19259903922671998</v>
      </c>
      <c r="J87" s="7">
        <f t="shared" si="5"/>
        <v>0.20203639214882924</v>
      </c>
      <c r="K87" s="7">
        <f t="shared" si="9"/>
        <v>0.22048231475201732</v>
      </c>
      <c r="L87" s="31">
        <f t="shared" si="6"/>
        <v>0.24868200280880032</v>
      </c>
      <c r="M87" s="31">
        <f t="shared" ref="M87:M95" si="14">ROUND(L87*1.0701,2)</f>
        <v>0.27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16" t="s">
        <v>193</v>
      </c>
      <c r="B88" s="17" t="s">
        <v>194</v>
      </c>
      <c r="C88" s="16" t="s">
        <v>124</v>
      </c>
      <c r="D88" s="38">
        <f t="shared" si="12"/>
        <v>3425.5800000000008</v>
      </c>
      <c r="E88" s="18">
        <v>0.03</v>
      </c>
      <c r="F88" s="7">
        <f t="shared" si="13"/>
        <v>3.1949999999999999E-2</v>
      </c>
      <c r="G88" s="7">
        <v>3.3291899999999999E-2</v>
      </c>
      <c r="H88" s="7">
        <f t="shared" si="8"/>
        <v>3.598188552E-2</v>
      </c>
      <c r="I88" s="7">
        <f t="shared" si="4"/>
        <v>3.7277233398720001E-2</v>
      </c>
      <c r="J88" s="7">
        <f t="shared" si="5"/>
        <v>3.9103817835257279E-2</v>
      </c>
      <c r="K88" s="7">
        <f t="shared" si="9"/>
        <v>4.2673996403616264E-2</v>
      </c>
      <c r="L88" s="31">
        <f t="shared" si="6"/>
        <v>4.8132000543638781E-2</v>
      </c>
      <c r="M88" s="31">
        <f t="shared" si="14"/>
        <v>0.05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16" t="s">
        <v>195</v>
      </c>
      <c r="B89" s="6" t="s">
        <v>196</v>
      </c>
      <c r="C89" s="16" t="s">
        <v>124</v>
      </c>
      <c r="D89" s="38">
        <f t="shared" si="12"/>
        <v>4795.8120000000008</v>
      </c>
      <c r="E89" s="18">
        <v>0.04</v>
      </c>
      <c r="F89" s="7">
        <f t="shared" si="13"/>
        <v>4.2599999999999999E-2</v>
      </c>
      <c r="G89" s="7">
        <v>4.4389200000000004E-2</v>
      </c>
      <c r="H89" s="7">
        <f t="shared" si="8"/>
        <v>4.7975847360000004E-2</v>
      </c>
      <c r="I89" s="7">
        <f t="shared" si="4"/>
        <v>4.9702977864960009E-2</v>
      </c>
      <c r="J89" s="7">
        <f t="shared" si="5"/>
        <v>5.2138423780343043E-2</v>
      </c>
      <c r="K89" s="7">
        <f t="shared" si="9"/>
        <v>5.6898661871488357E-2</v>
      </c>
      <c r="L89" s="31">
        <f t="shared" si="6"/>
        <v>6.4176000724851717E-2</v>
      </c>
      <c r="M89" s="31">
        <f t="shared" si="14"/>
        <v>7.0000000000000007E-2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16" t="s">
        <v>197</v>
      </c>
      <c r="B90" s="6" t="s">
        <v>198</v>
      </c>
      <c r="C90" s="16" t="s">
        <v>95</v>
      </c>
      <c r="D90" s="38">
        <f t="shared" si="12"/>
        <v>34255.800000000003</v>
      </c>
      <c r="E90" s="18">
        <v>0.28999999999999998</v>
      </c>
      <c r="F90" s="7">
        <f t="shared" si="13"/>
        <v>0.30884999999999996</v>
      </c>
      <c r="G90" s="7">
        <v>0.32182169999999999</v>
      </c>
      <c r="H90" s="7">
        <f t="shared" si="8"/>
        <v>0.34782489336</v>
      </c>
      <c r="I90" s="7">
        <f t="shared" si="4"/>
        <v>0.36034658952095999</v>
      </c>
      <c r="J90" s="7">
        <f t="shared" si="5"/>
        <v>0.378003572407487</v>
      </c>
      <c r="K90" s="7">
        <f t="shared" si="9"/>
        <v>0.41251529856829056</v>
      </c>
      <c r="L90" s="31">
        <f t="shared" si="6"/>
        <v>0.46527600525517487</v>
      </c>
      <c r="M90" s="31">
        <f t="shared" si="14"/>
        <v>0.5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36">
      <c r="A91" s="16" t="s">
        <v>199</v>
      </c>
      <c r="B91" s="6" t="s">
        <v>200</v>
      </c>
      <c r="C91" s="16" t="s">
        <v>124</v>
      </c>
      <c r="D91" s="38">
        <f t="shared" si="12"/>
        <v>2740.4639999999999</v>
      </c>
      <c r="E91" s="18">
        <v>2.1999999999999999E-2</v>
      </c>
      <c r="F91" s="7">
        <f t="shared" si="13"/>
        <v>2.3429999999999996E-2</v>
      </c>
      <c r="G91" s="7">
        <v>2.4414059999999998E-2</v>
      </c>
      <c r="H91" s="7">
        <f t="shared" si="8"/>
        <v>2.6386716047999997E-2</v>
      </c>
      <c r="I91" s="7">
        <f t="shared" si="4"/>
        <v>2.7336637825727997E-2</v>
      </c>
      <c r="J91" s="7">
        <f t="shared" si="5"/>
        <v>2.8676133079188666E-2</v>
      </c>
      <c r="K91" s="7">
        <f t="shared" si="9"/>
        <v>3.1294264029318591E-2</v>
      </c>
      <c r="L91" s="31">
        <f t="shared" si="6"/>
        <v>3.5296800398668435E-2</v>
      </c>
      <c r="M91" s="31">
        <f t="shared" si="14"/>
        <v>0.04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16" t="s">
        <v>201</v>
      </c>
      <c r="B92" s="6" t="s">
        <v>202</v>
      </c>
      <c r="C92" s="16" t="s">
        <v>203</v>
      </c>
      <c r="D92" s="38">
        <f t="shared" si="12"/>
        <v>4110.6959999999999</v>
      </c>
      <c r="E92" s="18">
        <v>3.4000000000000002E-2</v>
      </c>
      <c r="F92" s="7">
        <f t="shared" si="13"/>
        <v>3.6209999999999999E-2</v>
      </c>
      <c r="G92" s="7">
        <v>3.7730819999999998E-2</v>
      </c>
      <c r="H92" s="7">
        <f t="shared" si="8"/>
        <v>4.0779470255999997E-2</v>
      </c>
      <c r="I92" s="7">
        <f t="shared" si="4"/>
        <v>4.2247531185216E-2</v>
      </c>
      <c r="J92" s="7">
        <f t="shared" si="5"/>
        <v>4.4317660213291581E-2</v>
      </c>
      <c r="K92" s="7">
        <f t="shared" si="9"/>
        <v>4.8363862590765097E-2</v>
      </c>
      <c r="L92" s="31">
        <f t="shared" si="6"/>
        <v>5.4549600616123947E-2</v>
      </c>
      <c r="M92" s="31">
        <f t="shared" si="14"/>
        <v>0.06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16" t="s">
        <v>204</v>
      </c>
      <c r="B93" s="6" t="s">
        <v>205</v>
      </c>
      <c r="C93" s="16" t="s">
        <v>124</v>
      </c>
      <c r="D93" s="38">
        <f t="shared" si="12"/>
        <v>2055.348</v>
      </c>
      <c r="E93" s="18">
        <v>0.02</v>
      </c>
      <c r="F93" s="7">
        <f t="shared" si="13"/>
        <v>2.1299999999999999E-2</v>
      </c>
      <c r="G93" s="7">
        <v>2.2194600000000002E-2</v>
      </c>
      <c r="H93" s="7">
        <f t="shared" si="8"/>
        <v>2.3987923680000002E-2</v>
      </c>
      <c r="I93" s="7">
        <f t="shared" si="4"/>
        <v>2.4851488932480004E-2</v>
      </c>
      <c r="J93" s="7">
        <f t="shared" si="5"/>
        <v>2.6069211890171522E-2</v>
      </c>
      <c r="K93" s="7">
        <f t="shared" si="9"/>
        <v>2.8449330935744178E-2</v>
      </c>
      <c r="L93" s="31">
        <f t="shared" si="6"/>
        <v>3.2088000362425859E-2</v>
      </c>
      <c r="M93" s="31">
        <f t="shared" si="14"/>
        <v>0.03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24">
      <c r="A94" s="16" t="s">
        <v>206</v>
      </c>
      <c r="B94" s="6" t="s">
        <v>207</v>
      </c>
      <c r="C94" s="16" t="s">
        <v>178</v>
      </c>
      <c r="D94" s="38">
        <f t="shared" si="12"/>
        <v>53439.047999999995</v>
      </c>
      <c r="E94" s="18">
        <v>0.46</v>
      </c>
      <c r="F94" s="7">
        <f t="shared" si="13"/>
        <v>0.4899</v>
      </c>
      <c r="G94" s="7">
        <v>0.51047580000000004</v>
      </c>
      <c r="H94" s="7">
        <f t="shared" si="8"/>
        <v>0.55172224464000008</v>
      </c>
      <c r="I94" s="7">
        <f t="shared" si="4"/>
        <v>0.57158424544704012</v>
      </c>
      <c r="J94" s="7">
        <f t="shared" si="5"/>
        <v>0.59959187347394505</v>
      </c>
      <c r="K94" s="7">
        <f t="shared" si="9"/>
        <v>0.65433461152211614</v>
      </c>
      <c r="L94" s="31">
        <f t="shared" si="6"/>
        <v>0.73802400833579473</v>
      </c>
      <c r="M94" s="31">
        <f>ROUND(L94*1.0701,2)-0.01</f>
        <v>0.78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24">
      <c r="A95" s="16" t="s">
        <v>208</v>
      </c>
      <c r="B95" s="6" t="s">
        <v>209</v>
      </c>
      <c r="C95" s="16" t="s">
        <v>203</v>
      </c>
      <c r="D95" s="38">
        <f t="shared" si="12"/>
        <v>7536.2760000000007</v>
      </c>
      <c r="E95" s="18">
        <v>6.3E-2</v>
      </c>
      <c r="F95" s="7">
        <f t="shared" si="13"/>
        <v>6.7095000000000002E-2</v>
      </c>
      <c r="G95" s="7">
        <v>6.9912990000000008E-2</v>
      </c>
      <c r="H95" s="7">
        <f t="shared" si="8"/>
        <v>7.5561959592000003E-2</v>
      </c>
      <c r="I95" s="7">
        <f t="shared" si="4"/>
        <v>7.828219013731201E-2</v>
      </c>
      <c r="J95" s="7">
        <f t="shared" si="5"/>
        <v>8.2118017454040293E-2</v>
      </c>
      <c r="K95" s="7">
        <f t="shared" si="9"/>
        <v>8.9615392447594172E-2</v>
      </c>
      <c r="L95" s="31">
        <f t="shared" si="6"/>
        <v>0.10107720114164145</v>
      </c>
      <c r="M95" s="31">
        <f t="shared" si="14"/>
        <v>0.11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s="19" customFormat="1" ht="12.75" customHeight="1">
      <c r="A96" s="28" t="s">
        <v>210</v>
      </c>
      <c r="B96" s="24" t="s">
        <v>211</v>
      </c>
      <c r="C96" s="1"/>
      <c r="D96" s="7"/>
      <c r="E96" s="1"/>
      <c r="F96" s="7"/>
      <c r="G96" s="7"/>
      <c r="H96" s="7"/>
      <c r="I96" s="7"/>
      <c r="J96" s="7"/>
      <c r="K96" s="7"/>
      <c r="L96" s="31"/>
      <c r="M96" s="31"/>
    </row>
    <row r="97" spans="1:1024" ht="48">
      <c r="A97" s="16" t="s">
        <v>212</v>
      </c>
      <c r="B97" s="6" t="s">
        <v>213</v>
      </c>
      <c r="C97" s="16" t="s">
        <v>214</v>
      </c>
      <c r="D97" s="38">
        <f>M97*12*C$2</f>
        <v>2740.4639999999999</v>
      </c>
      <c r="E97" s="18">
        <v>2.4E-2</v>
      </c>
      <c r="F97" s="7">
        <f>E97*1.065</f>
        <v>2.5559999999999999E-2</v>
      </c>
      <c r="G97" s="7">
        <v>2.6633520000000001E-2</v>
      </c>
      <c r="H97" s="7">
        <f t="shared" si="8"/>
        <v>2.8785508416E-2</v>
      </c>
      <c r="I97" s="7">
        <f t="shared" si="4"/>
        <v>2.9821786718976E-2</v>
      </c>
      <c r="J97" s="7">
        <f t="shared" si="5"/>
        <v>3.1283054268205823E-2</v>
      </c>
      <c r="K97" s="7">
        <f t="shared" si="9"/>
        <v>3.4139197122893011E-2</v>
      </c>
      <c r="L97" s="31">
        <f t="shared" si="6"/>
        <v>3.8505600434911025E-2</v>
      </c>
      <c r="M97" s="31">
        <f>ROUND(L97*1.0701,2)</f>
        <v>0.04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>
      <c r="A98" s="16" t="s">
        <v>215</v>
      </c>
      <c r="B98" s="6" t="s">
        <v>216</v>
      </c>
      <c r="C98" s="16" t="s">
        <v>124</v>
      </c>
      <c r="D98" s="38">
        <f>M98*12*C$2</f>
        <v>685.11599999999999</v>
      </c>
      <c r="E98" s="18">
        <v>7.0000000000000001E-3</v>
      </c>
      <c r="F98" s="7">
        <f>E98*1.065</f>
        <v>7.4549999999999998E-3</v>
      </c>
      <c r="G98" s="7">
        <v>7.7681099999999999E-3</v>
      </c>
      <c r="H98" s="7">
        <f t="shared" si="8"/>
        <v>8.3957732879999993E-3</v>
      </c>
      <c r="I98" s="7">
        <f t="shared" si="4"/>
        <v>8.6980211263679996E-3</v>
      </c>
      <c r="J98" s="7">
        <f t="shared" si="5"/>
        <v>9.1242241615600312E-3</v>
      </c>
      <c r="K98" s="7">
        <f t="shared" si="9"/>
        <v>9.9572658275104611E-3</v>
      </c>
      <c r="L98" s="31">
        <f t="shared" si="6"/>
        <v>1.1230800126849048E-2</v>
      </c>
      <c r="M98" s="31">
        <f>ROUND(L98*1.0701,2)</f>
        <v>0.01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2.75" customHeight="1">
      <c r="A99" s="34" t="s">
        <v>217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6"/>
      <c r="M99" s="31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A100" s="5" t="s">
        <v>218</v>
      </c>
      <c r="B100" s="6" t="s">
        <v>219</v>
      </c>
      <c r="C100" s="8" t="s">
        <v>95</v>
      </c>
      <c r="D100" s="38">
        <f t="shared" ref="D100:D105" si="15">M100*12*C$2</f>
        <v>36311.148000000001</v>
      </c>
      <c r="E100" s="7">
        <v>0.31</v>
      </c>
      <c r="F100" s="7">
        <f t="shared" ref="F100:F105" si="16">E100*1.065</f>
        <v>0.33015</v>
      </c>
      <c r="G100" s="7">
        <v>0.3440163</v>
      </c>
      <c r="H100" s="7">
        <f t="shared" si="8"/>
        <v>0.37181281703999997</v>
      </c>
      <c r="I100" s="7">
        <f t="shared" si="4"/>
        <v>0.38519807845343995</v>
      </c>
      <c r="J100" s="7">
        <f t="shared" si="5"/>
        <v>0.40407278429765847</v>
      </c>
      <c r="K100" s="7">
        <f t="shared" si="9"/>
        <v>0.44096462950403464</v>
      </c>
      <c r="L100" s="31">
        <f t="shared" si="6"/>
        <v>0.49736400561760064</v>
      </c>
      <c r="M100" s="31">
        <f>ROUND(L100*1.0701,2)</f>
        <v>0.53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>
      <c r="A101" s="5" t="s">
        <v>237</v>
      </c>
      <c r="B101" s="6" t="s">
        <v>222</v>
      </c>
      <c r="C101" s="8" t="s">
        <v>95</v>
      </c>
      <c r="D101" s="38">
        <f t="shared" si="15"/>
        <v>6166.0440000000008</v>
      </c>
      <c r="E101" s="7">
        <v>0.05</v>
      </c>
      <c r="F101" s="7">
        <f t="shared" si="16"/>
        <v>5.3249999999999999E-2</v>
      </c>
      <c r="G101" s="7">
        <v>5.5486500000000001E-2</v>
      </c>
      <c r="H101" s="7">
        <f t="shared" si="8"/>
        <v>5.9969809200000002E-2</v>
      </c>
      <c r="I101" s="7">
        <f t="shared" si="4"/>
        <v>6.2128722331200002E-2</v>
      </c>
      <c r="J101" s="7">
        <f t="shared" si="5"/>
        <v>6.5173029725428794E-2</v>
      </c>
      <c r="K101" s="7">
        <f t="shared" si="9"/>
        <v>7.1123327339360443E-2</v>
      </c>
      <c r="L101" s="31">
        <f t="shared" si="6"/>
        <v>8.022000090606464E-2</v>
      </c>
      <c r="M101" s="31">
        <f t="shared" ref="M101:M105" si="17">ROUND(L101*1.0701,2)</f>
        <v>0.09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24">
      <c r="A102" s="5" t="s">
        <v>221</v>
      </c>
      <c r="B102" s="6" t="s">
        <v>224</v>
      </c>
      <c r="C102" s="8" t="s">
        <v>48</v>
      </c>
      <c r="D102" s="38">
        <f t="shared" si="15"/>
        <v>1370.232</v>
      </c>
      <c r="E102" s="7">
        <v>0.01</v>
      </c>
      <c r="F102" s="7">
        <f t="shared" si="16"/>
        <v>1.065E-2</v>
      </c>
      <c r="G102" s="7">
        <v>1.1097300000000001E-2</v>
      </c>
      <c r="H102" s="7">
        <f>G102*1.0808</f>
        <v>1.1993961840000001E-2</v>
      </c>
      <c r="I102" s="7">
        <f t="shared" si="4"/>
        <v>1.2425744466240002E-2</v>
      </c>
      <c r="J102" s="7">
        <f t="shared" si="5"/>
        <v>1.3034605945085761E-2</v>
      </c>
      <c r="K102" s="7">
        <f t="shared" si="9"/>
        <v>1.4224665467872089E-2</v>
      </c>
      <c r="L102" s="31">
        <f t="shared" si="6"/>
        <v>1.6044000181212929E-2</v>
      </c>
      <c r="M102" s="31">
        <f t="shared" si="17"/>
        <v>0.02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24">
      <c r="A103" s="5" t="s">
        <v>223</v>
      </c>
      <c r="B103" s="6" t="s">
        <v>226</v>
      </c>
      <c r="C103" s="8" t="s">
        <v>48</v>
      </c>
      <c r="D103" s="38">
        <f t="shared" si="15"/>
        <v>9591.6240000000016</v>
      </c>
      <c r="E103" s="7">
        <v>0.08</v>
      </c>
      <c r="F103" s="7">
        <f t="shared" si="16"/>
        <v>8.5199999999999998E-2</v>
      </c>
      <c r="G103" s="7">
        <v>8.8778400000000007E-2</v>
      </c>
      <c r="H103" s="7">
        <f t="shared" si="8"/>
        <v>9.5951694720000008E-2</v>
      </c>
      <c r="I103" s="7">
        <f t="shared" si="4"/>
        <v>9.9405955729920017E-2</v>
      </c>
      <c r="J103" s="7">
        <f t="shared" si="5"/>
        <v>0.10427684756068609</v>
      </c>
      <c r="K103" s="7">
        <f t="shared" si="9"/>
        <v>0.11379732374297671</v>
      </c>
      <c r="L103" s="31">
        <f t="shared" si="6"/>
        <v>0.12835200144970343</v>
      </c>
      <c r="M103" s="31">
        <f t="shared" si="17"/>
        <v>0.14000000000000001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>
      <c r="A104" s="5" t="s">
        <v>225</v>
      </c>
      <c r="B104" s="6" t="s">
        <v>228</v>
      </c>
      <c r="C104" s="8" t="s">
        <v>95</v>
      </c>
      <c r="D104" s="38">
        <f t="shared" si="15"/>
        <v>23293.944</v>
      </c>
      <c r="E104" s="7">
        <v>0.2</v>
      </c>
      <c r="F104" s="7">
        <f t="shared" si="16"/>
        <v>0.21299999999999999</v>
      </c>
      <c r="G104" s="7">
        <v>0.221946</v>
      </c>
      <c r="H104" s="7">
        <f t="shared" si="8"/>
        <v>0.23987923680000001</v>
      </c>
      <c r="I104" s="7">
        <f t="shared" si="4"/>
        <v>0.24851488932480001</v>
      </c>
      <c r="J104" s="7">
        <f t="shared" si="5"/>
        <v>0.26069211890171518</v>
      </c>
      <c r="K104" s="7">
        <f t="shared" si="9"/>
        <v>0.28449330935744177</v>
      </c>
      <c r="L104" s="31">
        <f t="shared" si="6"/>
        <v>0.32088000362425856</v>
      </c>
      <c r="M104" s="31">
        <f t="shared" si="17"/>
        <v>0.34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>
      <c r="A105" s="5" t="s">
        <v>227</v>
      </c>
      <c r="B105" s="6" t="s">
        <v>229</v>
      </c>
      <c r="C105" s="8" t="s">
        <v>95</v>
      </c>
      <c r="D105" s="38">
        <f>M105*12*C$2</f>
        <v>92490.660000000018</v>
      </c>
      <c r="E105" s="7">
        <v>0.78504495745246605</v>
      </c>
      <c r="F105" s="7">
        <f t="shared" si="16"/>
        <v>0.83607287968687627</v>
      </c>
      <c r="G105" s="7">
        <v>0.87118794063372507</v>
      </c>
      <c r="H105" s="7">
        <f>G105*1.0808</f>
        <v>0.94157992623692999</v>
      </c>
      <c r="I105" s="7">
        <v>0.98</v>
      </c>
      <c r="J105" s="7">
        <f t="shared" si="5"/>
        <v>1.0280199999999999</v>
      </c>
      <c r="K105" s="7">
        <f t="shared" si="9"/>
        <v>1.1218782259999998</v>
      </c>
      <c r="L105" s="31">
        <f t="shared" si="6"/>
        <v>1.2653664511053997</v>
      </c>
      <c r="M105" s="31">
        <f t="shared" si="17"/>
        <v>1.35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s="19" customFormat="1" ht="13.5" customHeight="1">
      <c r="A106" s="37" t="s">
        <v>230</v>
      </c>
      <c r="B106" s="37"/>
      <c r="C106" s="37"/>
      <c r="D106" s="39">
        <f>D100+D102+D101+D103+D104+D105+D72+D42+D40+D23+D15+D4</f>
        <v>1105777.2240000002</v>
      </c>
      <c r="E106" s="22">
        <v>9.4</v>
      </c>
      <c r="F106" s="22">
        <v>10.01</v>
      </c>
      <c r="G106" s="22">
        <v>10.43</v>
      </c>
      <c r="H106" s="22">
        <v>11.27</v>
      </c>
      <c r="I106" s="22">
        <v>11.68</v>
      </c>
      <c r="J106" s="22">
        <f t="shared" si="5"/>
        <v>12.252319999999999</v>
      </c>
      <c r="K106" s="22">
        <f t="shared" ref="K106:K109" si="18">J106*1.0913</f>
        <v>13.370956815999998</v>
      </c>
      <c r="L106" s="32">
        <f t="shared" si="6"/>
        <v>15.081102192766396</v>
      </c>
      <c r="M106" s="32">
        <f>M105+M104+M102+M101+M100+M103+M72+M42+M40+M23+M15+M4</f>
        <v>16.139999999999997</v>
      </c>
    </row>
    <row r="107" spans="1:1024">
      <c r="A107" s="5" t="s">
        <v>231</v>
      </c>
      <c r="B107" s="6" t="s">
        <v>232</v>
      </c>
      <c r="C107" s="8" t="s">
        <v>95</v>
      </c>
      <c r="D107" s="38">
        <f>M107*12*C$2</f>
        <v>405588.67199999996</v>
      </c>
      <c r="E107" s="7">
        <v>3.45</v>
      </c>
      <c r="F107" s="7">
        <f>E107*1.065</f>
        <v>3.6742499999999998</v>
      </c>
      <c r="G107" s="7">
        <v>3.82</v>
      </c>
      <c r="H107" s="7">
        <f>G107*1.0808</f>
        <v>4.1286559999999994</v>
      </c>
      <c r="I107" s="7">
        <f t="shared" si="4"/>
        <v>4.2772876159999997</v>
      </c>
      <c r="J107" s="7">
        <f t="shared" si="5"/>
        <v>4.4868747091839998</v>
      </c>
      <c r="K107" s="25">
        <f t="shared" si="18"/>
        <v>4.8965263701324986</v>
      </c>
      <c r="L107" s="31">
        <f>K107*1.1279+0.01</f>
        <v>5.5327920928724446</v>
      </c>
      <c r="M107" s="31">
        <f>ROUND(L107*1.0701,2)</f>
        <v>5.92</v>
      </c>
    </row>
    <row r="108" spans="1:1024" ht="12.75" hidden="1" customHeight="1">
      <c r="A108" s="10">
        <v>9</v>
      </c>
      <c r="B108" s="29" t="s">
        <v>233</v>
      </c>
      <c r="C108" s="6"/>
      <c r="D108" s="38">
        <f t="shared" ref="D108:D109" si="19">J108*12*C$2</f>
        <v>0</v>
      </c>
      <c r="E108" s="7">
        <v>0.52</v>
      </c>
      <c r="F108" s="7">
        <v>0.56999999999999995</v>
      </c>
      <c r="G108" s="7"/>
      <c r="H108" s="7">
        <f t="shared" si="8"/>
        <v>0</v>
      </c>
      <c r="I108" s="7">
        <f t="shared" si="4"/>
        <v>0</v>
      </c>
      <c r="J108" s="7">
        <f t="shared" si="5"/>
        <v>0</v>
      </c>
      <c r="K108" s="25">
        <f t="shared" si="18"/>
        <v>0</v>
      </c>
      <c r="L108" s="31">
        <f t="shared" si="6"/>
        <v>0</v>
      </c>
      <c r="M108" s="31"/>
    </row>
    <row r="109" spans="1:1024" hidden="1">
      <c r="A109" s="10" t="s">
        <v>236</v>
      </c>
      <c r="B109" s="29" t="s">
        <v>234</v>
      </c>
      <c r="C109" s="6"/>
      <c r="D109" s="38">
        <f t="shared" si="19"/>
        <v>0</v>
      </c>
      <c r="E109" s="7">
        <v>0.04</v>
      </c>
      <c r="F109" s="7">
        <f>E109*1.065</f>
        <v>4.2599999999999999E-2</v>
      </c>
      <c r="G109" s="7">
        <v>0.04</v>
      </c>
      <c r="H109" s="7">
        <f t="shared" si="8"/>
        <v>4.3232E-2</v>
      </c>
      <c r="I109" s="7">
        <f t="shared" si="4"/>
        <v>4.4788352000000003E-2</v>
      </c>
      <c r="J109" s="7"/>
      <c r="K109" s="25">
        <f t="shared" si="18"/>
        <v>0</v>
      </c>
      <c r="L109" s="31">
        <f t="shared" si="6"/>
        <v>0</v>
      </c>
      <c r="M109" s="31"/>
    </row>
    <row r="110" spans="1:1024">
      <c r="A110" s="5" t="s">
        <v>236</v>
      </c>
      <c r="B110" s="6" t="s">
        <v>220</v>
      </c>
      <c r="C110" s="8" t="s">
        <v>95</v>
      </c>
      <c r="D110" s="38">
        <f>M110*12*C$2</f>
        <v>188406.9</v>
      </c>
      <c r="E110" s="7">
        <v>1.99</v>
      </c>
      <c r="F110" s="7">
        <v>2.0299999999999998</v>
      </c>
      <c r="G110" s="7">
        <v>2.1152599999999997</v>
      </c>
      <c r="H110" s="7">
        <v>2.0699999999999998</v>
      </c>
      <c r="I110" s="7">
        <v>2.15</v>
      </c>
      <c r="J110" s="7">
        <v>2.2400000000000002</v>
      </c>
      <c r="K110" s="25">
        <v>2.3199999999999998</v>
      </c>
      <c r="L110" s="31">
        <f>K110*1.1279-0.09</f>
        <v>2.5267279999999999</v>
      </c>
      <c r="M110" s="31">
        <f>ROUND(L110*1.0701,2)+0.05</f>
        <v>2.75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37" t="s">
        <v>235</v>
      </c>
      <c r="B111" s="37"/>
      <c r="C111" s="37"/>
      <c r="D111" s="39">
        <f>D106+D107+D110</f>
        <v>1699772.7960000001</v>
      </c>
      <c r="E111" s="22">
        <f>E107+E106+E109+E110</f>
        <v>14.88</v>
      </c>
      <c r="F111" s="22">
        <f>F106+F107+F109+F110</f>
        <v>15.756849999999998</v>
      </c>
      <c r="G111" s="22">
        <f>G106+G109+G107+G110</f>
        <v>16.405259999999998</v>
      </c>
      <c r="H111" s="22">
        <f>H107+H106+H109+H110</f>
        <v>17.511887999999999</v>
      </c>
      <c r="I111" s="22">
        <f>I106+I109+I107+I110</f>
        <v>18.152075967999998</v>
      </c>
      <c r="J111" s="22">
        <f>J106+J107+J110</f>
        <v>18.979194709184</v>
      </c>
      <c r="K111" s="22">
        <f>K106+K107+K110</f>
        <v>20.587483186132495</v>
      </c>
      <c r="L111" s="22">
        <f>L106+L107+L110</f>
        <v>23.140622285638841</v>
      </c>
      <c r="M111" s="22">
        <f>M106+M107+M110</f>
        <v>24.809999999999995</v>
      </c>
    </row>
    <row r="113" spans="2:10">
      <c r="B113" s="3" t="s">
        <v>243</v>
      </c>
      <c r="E113" s="21"/>
      <c r="F113" s="21"/>
      <c r="G113" s="21"/>
      <c r="H113" s="21"/>
      <c r="I113" s="21"/>
      <c r="J113" s="21"/>
    </row>
    <row r="114" spans="2:10">
      <c r="E114" s="21"/>
    </row>
    <row r="115" spans="2:10">
      <c r="E115" s="21"/>
    </row>
  </sheetData>
  <mergeCells count="8">
    <mergeCell ref="A3:L3"/>
    <mergeCell ref="A14:L14"/>
    <mergeCell ref="A111:C111"/>
    <mergeCell ref="A106:C106"/>
    <mergeCell ref="A99:L99"/>
    <mergeCell ref="A71:L71"/>
    <mergeCell ref="A22:L22"/>
    <mergeCell ref="A41:L41"/>
  </mergeCells>
  <pageMargins left="0.2" right="0.2" top="0.6" bottom="0.20972222222222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Воронкин Никита Валентинович</cp:lastModifiedBy>
  <cp:revision>2</cp:revision>
  <cp:lastPrinted>2021-05-26T13:00:15Z</cp:lastPrinted>
  <dcterms:created xsi:type="dcterms:W3CDTF">2011-09-20T07:13:12Z</dcterms:created>
  <dcterms:modified xsi:type="dcterms:W3CDTF">2024-07-08T08:52:30Z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